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tabRatio="569" activeTab="1"/>
  </bookViews>
  <sheets>
    <sheet name="INCOME STATEMENTS" sheetId="1" r:id="rId1"/>
    <sheet name="BALANCE SHEETS" sheetId="2" r:id="rId2"/>
    <sheet name="EQUITY" sheetId="3" r:id="rId3"/>
    <sheet name="CASHFLOW" sheetId="4" r:id="rId4"/>
    <sheet name="eps" sheetId="5" r:id="rId5"/>
    <sheet name="eps-diluted" sheetId="6" r:id="rId6"/>
  </sheets>
  <definedNames>
    <definedName name="_xlnm.Print_Area" localSheetId="3">'CASHFLOW'!#REF!</definedName>
    <definedName name="_xlnm.Print_Area" localSheetId="4">'eps'!$A$1:$J$54</definedName>
  </definedNames>
  <calcPr fullCalcOnLoad="1"/>
</workbook>
</file>

<file path=xl/sharedStrings.xml><?xml version="1.0" encoding="utf-8"?>
<sst xmlns="http://schemas.openxmlformats.org/spreadsheetml/2006/main" count="259" uniqueCount="181">
  <si>
    <t>UNAUDITED CONDENSED CONSOLIDATED INCOME STATEMENTS</t>
  </si>
  <si>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</si>
  <si>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</si>
  <si>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</si>
  <si>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</si>
  <si>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</si>
  <si>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</si>
  <si>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</si>
  <si>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</si>
  <si>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</si>
  <si>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</si>
  <si>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</si>
  <si>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</si>
  <si>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</si>
  <si>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</si>
  <si>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</si>
  <si>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</si>
  <si>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</si>
  <si>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</si>
  <si>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</si>
  <si>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</si>
  <si>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</si>
  <si>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</si>
  <si>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</si>
  <si>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Earnings per share</t>
  </si>
  <si>
    <t>The Condensed Consolidated Income Statements should be read in conjunction with the Annual</t>
  </si>
  <si>
    <t>CONDENSED CONSOLIDATED BALANCE SHEETS</t>
  </si>
  <si>
    <t>Inventories</t>
  </si>
  <si>
    <t>As at</t>
  </si>
  <si>
    <t>Audited</t>
  </si>
  <si>
    <t>CURRENT LIABILITIES</t>
  </si>
  <si>
    <t>Short term borrowings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</si>
  <si>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</si>
  <si>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</si>
  <si>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</si>
  <si>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</si>
  <si>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</si>
  <si>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</si>
  <si>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</si>
  <si>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</si>
  <si>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profits</t>
  </si>
  <si>
    <t>consolidation</t>
  </si>
  <si>
    <t>Share</t>
  </si>
  <si>
    <t>premium</t>
  </si>
  <si>
    <t>capital</t>
  </si>
  <si>
    <t>Non-distributable</t>
  </si>
  <si>
    <t>Distributable</t>
  </si>
  <si>
    <t>Issue of share capital</t>
  </si>
  <si>
    <t>Term loans</t>
  </si>
  <si>
    <t>NON-CURRENT ASSETS</t>
  </si>
  <si>
    <t>Property, plant and equipment</t>
  </si>
  <si>
    <t>Investment property</t>
  </si>
  <si>
    <t>Development expenditure</t>
  </si>
  <si>
    <t>-</t>
  </si>
  <si>
    <t>CURRENT ASSETS</t>
  </si>
  <si>
    <t>Trade receivables</t>
  </si>
  <si>
    <t>Other receivables and prepayments</t>
  </si>
  <si>
    <t>Due from related companies</t>
  </si>
  <si>
    <t>Cash and bank balances</t>
  </si>
  <si>
    <t>Short term portion of term loans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</si>
  <si>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</si>
  <si>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</si>
  <si>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</si>
  <si>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</si>
  <si>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</si>
  <si>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</si>
  <si>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>The Condensed Consolidated Balance Sheets should be read in conjunction with the</t>
  </si>
  <si>
    <t>Reserve on</t>
  </si>
  <si>
    <t>Net profit for the period</t>
  </si>
  <si>
    <t xml:space="preserve">  -  basic (sen)</t>
  </si>
  <si>
    <t xml:space="preserve">  -  diluted (sen)</t>
  </si>
  <si>
    <t xml:space="preserve"> </t>
  </si>
  <si>
    <t xml:space="preserve">The Condensed Consolidated Statements of Changes in Equity should be read in conjunction </t>
  </si>
  <si>
    <t>31.01.2003</t>
  </si>
  <si>
    <t>Year</t>
  </si>
  <si>
    <t>Cumulative Period</t>
  </si>
  <si>
    <t>NET CURRENT ASSETS</t>
  </si>
  <si>
    <t>CONDENSED CONSOLIDATED CASH FLOW STATEMENTS FOR THE</t>
  </si>
  <si>
    <t>Tax paid</t>
  </si>
  <si>
    <t>Interest paid</t>
  </si>
  <si>
    <t>Purchase of property, plant and equipment</t>
  </si>
  <si>
    <t>Development expenditure incurred</t>
  </si>
  <si>
    <t>Proceeds from issuance of shares</t>
  </si>
  <si>
    <t>Repayment of short term borrowings</t>
  </si>
  <si>
    <t>Cash and cash equivalents comprise:</t>
  </si>
  <si>
    <t>At 1 February 2003</t>
  </si>
  <si>
    <t>with the Annual Financial Report for the year ended 31 January 2003.</t>
  </si>
  <si>
    <t>Financial Report for the year ended 31st January 2003.</t>
  </si>
  <si>
    <t>EPS COMPUTATION</t>
  </si>
  <si>
    <t>Information</t>
  </si>
  <si>
    <t>Key</t>
  </si>
  <si>
    <t>A</t>
  </si>
  <si>
    <t>Weighted average share capital</t>
  </si>
  <si>
    <t>Increase</t>
  </si>
  <si>
    <t>Share Capital</t>
  </si>
  <si>
    <t>Weighted average</t>
  </si>
  <si>
    <t>31/1/2003</t>
  </si>
  <si>
    <t>28/2/2003</t>
  </si>
  <si>
    <t>31/3/2003</t>
  </si>
  <si>
    <t>30/4/2003</t>
  </si>
  <si>
    <t>31/5/2003</t>
  </si>
  <si>
    <t>30/6/2003</t>
  </si>
  <si>
    <t>31/7/2003</t>
  </si>
  <si>
    <t>31/8/2003</t>
  </si>
  <si>
    <t>30/9/2003</t>
  </si>
  <si>
    <t>31/10/2003</t>
  </si>
  <si>
    <t>30/11/2003</t>
  </si>
  <si>
    <t>31/12/2003</t>
  </si>
  <si>
    <t>31/1/2004</t>
  </si>
  <si>
    <t>B</t>
  </si>
  <si>
    <t>Average fair value of one ordinary share during the year</t>
  </si>
  <si>
    <t>Weighted average number of shares under option during the year</t>
  </si>
  <si>
    <t>ESOS</t>
  </si>
  <si>
    <t>31/1/2002</t>
  </si>
  <si>
    <t>28/2/2002</t>
  </si>
  <si>
    <t>31/3/2002</t>
  </si>
  <si>
    <t>30/4/2002</t>
  </si>
  <si>
    <t>31/5/2002</t>
  </si>
  <si>
    <t>30/6/2002</t>
  </si>
  <si>
    <t>31/7/2002</t>
  </si>
  <si>
    <t>31/8/2001</t>
  </si>
  <si>
    <t>30/9/2001</t>
  </si>
  <si>
    <t>31/10/2001</t>
  </si>
  <si>
    <t>30/11/2002</t>
  </si>
  <si>
    <t>31/12/2001</t>
  </si>
  <si>
    <t>D</t>
  </si>
  <si>
    <t>Exercise price for shares under option during the year</t>
  </si>
  <si>
    <t>E</t>
  </si>
  <si>
    <t>Number of shares that would have been issued at fair value</t>
  </si>
  <si>
    <t>F = D*(E/C)</t>
  </si>
  <si>
    <t>G=D-F</t>
  </si>
  <si>
    <t>Workings</t>
  </si>
  <si>
    <t>H=B+G</t>
  </si>
  <si>
    <t>A/B</t>
  </si>
  <si>
    <t>A/(B+D-F)</t>
  </si>
  <si>
    <t>Note: Movement of shares is taken at month end.</t>
  </si>
  <si>
    <t>Annual Financial Report for the year ended 31st January 2003.</t>
  </si>
  <si>
    <t>Drawdown of  term loan</t>
  </si>
  <si>
    <t>Repayment of  term loan</t>
  </si>
  <si>
    <t>Basic profit per share</t>
  </si>
  <si>
    <t xml:space="preserve">Diluted profit per share </t>
  </si>
  <si>
    <t>Amount of net profit earned for equity attributable to each equity share</t>
  </si>
  <si>
    <t xml:space="preserve">C  (add 3 months end share price divided  by 3) </t>
  </si>
  <si>
    <t>Bank overdraft</t>
  </si>
  <si>
    <t>Fixed Deposit</t>
  </si>
  <si>
    <t>FOR THE QUARTER ENDED 31 OCTOBER 2003</t>
  </si>
  <si>
    <t>31.10.2003</t>
  </si>
  <si>
    <t>31.10.2002</t>
  </si>
  <si>
    <t>FOR THE PERIOD ENDED 31 0CTOBER 2003</t>
  </si>
  <si>
    <t>PERIOD ENDED 31 OCTOBER 2003</t>
  </si>
  <si>
    <t xml:space="preserve">C  (add 9 months end share price divided  by 9) </t>
  </si>
  <si>
    <t>At 31 October 2003</t>
  </si>
  <si>
    <t>CASH FLOW FROM OPERATING ACTIVITIES</t>
  </si>
  <si>
    <t>RM'000</t>
  </si>
  <si>
    <t>Profit before tax</t>
  </si>
  <si>
    <t>Adjustment for</t>
  </si>
  <si>
    <t>Depreciation</t>
  </si>
  <si>
    <t>Amortization of development expenditure</t>
  </si>
  <si>
    <t>Interest expenses</t>
  </si>
  <si>
    <t>Others income</t>
  </si>
  <si>
    <t>Decrease/(increase) in inventories</t>
  </si>
  <si>
    <t>Interco balance</t>
  </si>
  <si>
    <t>Net cash generated from/(used in) operating activities</t>
  </si>
  <si>
    <t>CASH FLOW FROM INVESTING ACTIVITIES</t>
  </si>
  <si>
    <t>Net cash generated from/(used in) investing activities</t>
  </si>
  <si>
    <t>CASH FLOW FROM FINANCING ACTIVITIES</t>
  </si>
  <si>
    <t>Dividends paid</t>
  </si>
  <si>
    <t>Drawdown of  hire purchase</t>
  </si>
  <si>
    <t>Repayment of hire purchase and payable</t>
  </si>
  <si>
    <t>Net cash generated from/(used in) financing activities</t>
  </si>
  <si>
    <t>NET INCREASE/DECREASE IN CASH AND CASH EQUIVALENTS</t>
  </si>
  <si>
    <t>CASH AND CASH EQUIVALENTS AT BEGINNING OF THE YEAR</t>
  </si>
  <si>
    <t>CASH AND CASH EQUIVALENTS AT END OF YEAR</t>
  </si>
  <si>
    <t>Cash and bank balance</t>
  </si>
  <si>
    <t>Asset/Development expenditure written off</t>
  </si>
  <si>
    <t>Drawdown of short term borrowings/ hire purchase</t>
  </si>
  <si>
    <t>Gain/loss on  disposal of property, plant and equipment</t>
  </si>
  <si>
    <t>Operating profit/(loss) before working capital changes</t>
  </si>
  <si>
    <t>Increase / (decrease) in trade and other payable</t>
  </si>
  <si>
    <t>Others Income received</t>
  </si>
  <si>
    <t>Decrease/(Increase) in trade and other receivables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</si>
</sst>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\ ???/???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1" xfId="0" applyNumberFormat="1" applyBorder="1" applyAlignment="1">
      <alignment/>
    </xf>
    <xf numFmtId="173" fontId="0" fillId="0" borderId="1" xfId="15" applyNumberFormat="1" applyBorder="1" applyAlignment="1">
      <alignment/>
    </xf>
    <xf numFmtId="173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37" fontId="0" fillId="0" borderId="1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15" applyNumberFormat="1" applyFont="1" applyAlignment="1">
      <alignment/>
    </xf>
    <xf numFmtId="173" fontId="7" fillId="0" borderId="0" xfId="15" applyNumberFormat="1" applyFont="1" applyAlignment="1">
      <alignment horizontal="center"/>
    </xf>
    <xf numFmtId="173" fontId="7" fillId="0" borderId="0" xfId="15" applyNumberFormat="1" applyFont="1" applyAlignment="1">
      <alignment horizontal="left"/>
    </xf>
    <xf numFmtId="43" fontId="7" fillId="0" borderId="0" xfId="15" applyNumberFormat="1" applyFont="1" applyAlignment="1">
      <alignment/>
    </xf>
    <xf numFmtId="173" fontId="7" fillId="0" borderId="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3" fontId="7" fillId="0" borderId="5" xfId="15" applyNumberFormat="1" applyFont="1" applyBorder="1" applyAlignment="1">
      <alignment/>
    </xf>
    <xf numFmtId="171" fontId="7" fillId="0" borderId="0" xfId="15" applyNumberFormat="1" applyFont="1" applyAlignment="1">
      <alignment/>
    </xf>
    <xf numFmtId="43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3" fontId="7" fillId="0" borderId="0" xfId="15" applyNumberFormat="1" applyFont="1" applyFill="1" applyAlignment="1">
      <alignment/>
    </xf>
    <xf numFmtId="173" fontId="7" fillId="0" borderId="5" xfId="15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0" fontId="12" fillId="0" borderId="0" xfId="15" applyNumberFormat="1" applyFont="1" applyAlignment="1">
      <alignment/>
    </xf>
    <xf numFmtId="43" fontId="7" fillId="0" borderId="0" xfId="15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Alignment="1">
      <alignment/>
    </xf>
    <xf numFmtId="173" fontId="3" fillId="0" borderId="5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</xdr:row>
      <xdr:rowOff>85725</xdr:rowOff>
    </xdr:from>
    <xdr:to>
      <xdr:col>6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95700" y="127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95250</xdr:rowOff>
    </xdr:from>
    <xdr:to>
      <xdr:col>4</xdr:col>
      <xdr:colOff>333375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314575" y="1285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2">
      <selection activeCell="D35" sqref="D35"/>
    </sheetView>
  </sheetViews>
  <sheetFormatPr defaultColWidth="9.140625" defaultRowHeight="12.75"/>
  <cols>
    <col min="1" max="1" width="28.8515625" style="1" customWidth="1"/>
    <col min="2" max="2" width="10.421875" style="1" customWidth="1"/>
    <col min="3" max="3" width="4.421875" style="1" customWidth="1"/>
    <col min="4" max="4" width="10.28125" style="1" customWidth="1"/>
    <col min="5" max="5" width="3.57421875" style="1" customWidth="1"/>
    <col min="6" max="6" width="9.140625" style="1" customWidth="1"/>
    <col min="7" max="7" width="3.7109375" style="1" customWidth="1"/>
    <col min="8" max="8" width="10.28125" style="1" customWidth="1"/>
    <col min="9" max="16384" width="9.140625" style="1" customWidth="1"/>
  </cols>
  <sheetData>
    <row r="1" ht="15">
      <c r="A1" s="20" t="s">
        <v>0</v>
      </c>
    </row>
    <row r="2" ht="15">
      <c r="A2" s="20" t="s">
        <v>145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3"/>
      <c r="B4" s="4"/>
      <c r="C4" s="4"/>
      <c r="D4" s="4"/>
      <c r="E4" s="4"/>
      <c r="F4" s="4"/>
      <c r="G4" s="4"/>
      <c r="H4" s="6"/>
    </row>
    <row r="5" spans="1:8" ht="14.25">
      <c r="A5" s="3"/>
      <c r="B5" s="2"/>
      <c r="C5" s="4"/>
      <c r="D5" s="6" t="s">
        <v>2</v>
      </c>
      <c r="E5" s="3"/>
      <c r="F5" s="2"/>
      <c r="G5" s="4"/>
      <c r="H5" s="6" t="s">
        <v>75</v>
      </c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3"/>
      <c r="B7" s="3"/>
      <c r="C7" s="3"/>
      <c r="D7" s="5" t="s">
        <v>3</v>
      </c>
      <c r="E7" s="3"/>
      <c r="F7" s="3"/>
      <c r="G7" s="3"/>
      <c r="H7" s="5" t="s">
        <v>11</v>
      </c>
    </row>
    <row r="8" spans="1:8" ht="14.25">
      <c r="A8" s="3"/>
      <c r="B8" s="3"/>
      <c r="C8" s="3"/>
      <c r="D8" s="5" t="s">
        <v>6</v>
      </c>
      <c r="E8" s="3"/>
      <c r="F8" s="5" t="s">
        <v>8</v>
      </c>
      <c r="G8" s="3"/>
      <c r="H8" s="5" t="s">
        <v>10</v>
      </c>
    </row>
    <row r="9" spans="1:8" ht="14.25">
      <c r="A9" s="3"/>
      <c r="B9" s="5" t="s">
        <v>8</v>
      </c>
      <c r="C9" s="3"/>
      <c r="D9" s="5" t="s">
        <v>4</v>
      </c>
      <c r="E9" s="3"/>
      <c r="F9" s="5" t="s">
        <v>74</v>
      </c>
      <c r="H9" s="5" t="s">
        <v>4</v>
      </c>
    </row>
    <row r="10" spans="1:8" ht="14.25">
      <c r="A10" s="3"/>
      <c r="B10" s="8" t="s">
        <v>5</v>
      </c>
      <c r="C10" s="3"/>
      <c r="D10" s="8" t="s">
        <v>5</v>
      </c>
      <c r="E10" s="3"/>
      <c r="F10" s="7" t="s">
        <v>9</v>
      </c>
      <c r="G10" s="3"/>
      <c r="H10" s="8" t="s">
        <v>7</v>
      </c>
    </row>
    <row r="11" spans="1:8" ht="14.25">
      <c r="A11" s="3"/>
      <c r="B11" s="7" t="s">
        <v>146</v>
      </c>
      <c r="C11" s="3"/>
      <c r="D11" s="7" t="s">
        <v>147</v>
      </c>
      <c r="E11" s="3"/>
      <c r="F11" s="7" t="str">
        <f>B11</f>
        <v>31.10.2003</v>
      </c>
      <c r="G11" s="3"/>
      <c r="H11" s="7" t="str">
        <f>D11</f>
        <v>31.10.2002</v>
      </c>
    </row>
    <row r="12" spans="1:8" ht="14.25">
      <c r="A12" s="3"/>
      <c r="B12" s="5" t="s">
        <v>12</v>
      </c>
      <c r="C12" s="3"/>
      <c r="D12" s="5" t="s">
        <v>12</v>
      </c>
      <c r="E12" s="3"/>
      <c r="F12" s="5" t="s">
        <v>12</v>
      </c>
      <c r="G12" s="3"/>
      <c r="H12" s="5" t="s">
        <v>12</v>
      </c>
    </row>
    <row r="13" spans="1:8" ht="14.25">
      <c r="A13" s="3"/>
      <c r="B13" s="5"/>
      <c r="C13" s="3"/>
      <c r="D13" s="5"/>
      <c r="E13" s="3"/>
      <c r="F13" s="5"/>
      <c r="G13" s="3"/>
      <c r="H13" s="5"/>
    </row>
    <row r="14" spans="1:8" ht="14.25">
      <c r="A14" s="3" t="s">
        <v>13</v>
      </c>
      <c r="B14" s="37">
        <f>F14-52144</f>
        <v>24588</v>
      </c>
      <c r="C14" s="38"/>
      <c r="D14" s="37">
        <v>28874</v>
      </c>
      <c r="E14" s="38"/>
      <c r="F14" s="37">
        <v>76732</v>
      </c>
      <c r="G14" s="38"/>
      <c r="H14" s="37">
        <v>91178</v>
      </c>
    </row>
    <row r="15" spans="1:8" ht="14.25">
      <c r="A15" s="3"/>
      <c r="B15" s="38"/>
      <c r="C15" s="38"/>
      <c r="D15" s="38"/>
      <c r="E15" s="38"/>
      <c r="F15" s="38"/>
      <c r="G15" s="38"/>
      <c r="H15" s="38"/>
    </row>
    <row r="16" spans="1:8" ht="14.25">
      <c r="A16" s="3" t="s">
        <v>14</v>
      </c>
      <c r="B16" s="39">
        <f>B20-B14-B18</f>
        <v>-24004</v>
      </c>
      <c r="C16" s="38"/>
      <c r="D16" s="39">
        <v>-26665</v>
      </c>
      <c r="E16" s="38"/>
      <c r="F16" s="39">
        <f>F20-F14-F18</f>
        <v>-72581</v>
      </c>
      <c r="G16" s="38"/>
      <c r="H16" s="39">
        <v>-79980</v>
      </c>
    </row>
    <row r="17" spans="1:8" ht="14.25">
      <c r="A17" s="3"/>
      <c r="B17" s="38"/>
      <c r="C17" s="38"/>
      <c r="D17" s="38"/>
      <c r="E17" s="38"/>
      <c r="F17" s="38"/>
      <c r="G17" s="38"/>
      <c r="H17" s="38"/>
    </row>
    <row r="18" spans="1:8" ht="14.25">
      <c r="A18" s="3" t="s">
        <v>15</v>
      </c>
      <c r="B18" s="80">
        <f>F18-581</f>
        <v>862</v>
      </c>
      <c r="C18" s="38"/>
      <c r="D18" s="40">
        <v>417</v>
      </c>
      <c r="E18" s="41"/>
      <c r="F18" s="80">
        <v>1443</v>
      </c>
      <c r="G18" s="38"/>
      <c r="H18" s="40">
        <v>1015</v>
      </c>
    </row>
    <row r="19" spans="1:8" ht="14.25">
      <c r="A19" s="3"/>
      <c r="B19" s="38"/>
      <c r="C19" s="38"/>
      <c r="D19" s="38"/>
      <c r="E19" s="38"/>
      <c r="F19" s="38"/>
      <c r="G19" s="38"/>
      <c r="H19" s="38"/>
    </row>
    <row r="20" spans="1:8" ht="14.25">
      <c r="A20" s="3" t="s">
        <v>16</v>
      </c>
      <c r="B20" s="37">
        <f>B25-B22</f>
        <v>1446</v>
      </c>
      <c r="C20" s="38"/>
      <c r="D20" s="37">
        <v>2626</v>
      </c>
      <c r="E20" s="38"/>
      <c r="F20" s="37">
        <f>F25-F22</f>
        <v>5594</v>
      </c>
      <c r="G20" s="38"/>
      <c r="H20" s="37">
        <v>12213</v>
      </c>
    </row>
    <row r="21" spans="1:8" ht="14.25">
      <c r="A21" s="3"/>
      <c r="B21" s="38"/>
      <c r="C21" s="38"/>
      <c r="D21" s="38"/>
      <c r="E21" s="38"/>
      <c r="F21" s="38"/>
      <c r="G21" s="38"/>
      <c r="H21" s="38"/>
    </row>
    <row r="22" spans="1:8" ht="14.25">
      <c r="A22" s="3" t="s">
        <v>17</v>
      </c>
      <c r="B22" s="39">
        <f>F22--1301</f>
        <v>-687</v>
      </c>
      <c r="C22" s="38"/>
      <c r="D22" s="39">
        <v>-692</v>
      </c>
      <c r="E22" s="38"/>
      <c r="F22" s="39">
        <v>-1988</v>
      </c>
      <c r="G22" s="38"/>
      <c r="H22" s="39">
        <v>-2022</v>
      </c>
    </row>
    <row r="23" spans="1:8" ht="14.25">
      <c r="A23" s="3"/>
      <c r="B23" s="40"/>
      <c r="C23" s="38"/>
      <c r="D23" s="40"/>
      <c r="E23" s="38"/>
      <c r="F23" s="40"/>
      <c r="G23" s="38"/>
      <c r="H23" s="40"/>
    </row>
    <row r="24" spans="1:8" ht="14.25">
      <c r="A24" s="3"/>
      <c r="B24" s="38"/>
      <c r="C24" s="38"/>
      <c r="D24" s="38"/>
      <c r="E24" s="38"/>
      <c r="F24" s="38"/>
      <c r="G24" s="38"/>
      <c r="H24" s="38"/>
    </row>
    <row r="25" spans="1:8" ht="14.25">
      <c r="A25" s="3" t="s">
        <v>18</v>
      </c>
      <c r="B25" s="37">
        <f>B29-B27</f>
        <v>759</v>
      </c>
      <c r="C25" s="38"/>
      <c r="D25" s="37">
        <v>1934</v>
      </c>
      <c r="E25" s="38"/>
      <c r="F25" s="37">
        <v>3606</v>
      </c>
      <c r="G25" s="38"/>
      <c r="H25" s="37">
        <v>10191</v>
      </c>
    </row>
    <row r="26" spans="1:8" ht="14.25">
      <c r="A26" s="3"/>
      <c r="B26" s="38"/>
      <c r="C26" s="38"/>
      <c r="D26" s="38"/>
      <c r="E26" s="38"/>
      <c r="F26" s="38"/>
      <c r="G26" s="38"/>
      <c r="H26" s="38"/>
    </row>
    <row r="27" spans="1:8" ht="14.25">
      <c r="A27" s="3" t="s">
        <v>19</v>
      </c>
      <c r="B27" s="47">
        <f>F27--286</f>
        <v>417</v>
      </c>
      <c r="C27" s="42"/>
      <c r="D27" s="47">
        <v>-766</v>
      </c>
      <c r="E27" s="42"/>
      <c r="F27" s="47">
        <v>131</v>
      </c>
      <c r="G27" s="42"/>
      <c r="H27" s="47">
        <v>-2382</v>
      </c>
    </row>
    <row r="28" spans="1:8" ht="14.25">
      <c r="A28" s="3"/>
      <c r="B28" s="38"/>
      <c r="C28" s="38"/>
      <c r="D28" s="38"/>
      <c r="E28" s="38"/>
      <c r="F28" s="38"/>
      <c r="G28" s="38"/>
      <c r="H28" s="38"/>
    </row>
    <row r="29" spans="1:8" ht="14.25">
      <c r="A29" s="3" t="s">
        <v>20</v>
      </c>
      <c r="B29" s="43">
        <f>F29-2561</f>
        <v>1176</v>
      </c>
      <c r="C29" s="38"/>
      <c r="D29" s="43">
        <v>1168</v>
      </c>
      <c r="E29" s="38"/>
      <c r="F29" s="43">
        <v>3737</v>
      </c>
      <c r="G29" s="38"/>
      <c r="H29" s="43">
        <v>7810</v>
      </c>
    </row>
    <row r="30" spans="1:8" ht="14.25">
      <c r="A30" s="3"/>
      <c r="B30" s="38"/>
      <c r="C30" s="38"/>
      <c r="D30" s="38"/>
      <c r="E30" s="38"/>
      <c r="F30" s="38"/>
      <c r="G30" s="38"/>
      <c r="H30" s="38"/>
    </row>
    <row r="31" spans="1:8" ht="14.25">
      <c r="A31" s="3" t="s">
        <v>21</v>
      </c>
      <c r="B31" s="29">
        <v>0</v>
      </c>
      <c r="C31" s="42"/>
      <c r="D31" s="29">
        <v>0</v>
      </c>
      <c r="E31" s="42"/>
      <c r="F31" s="30">
        <v>0</v>
      </c>
      <c r="G31" s="42"/>
      <c r="H31" s="29">
        <v>0</v>
      </c>
    </row>
    <row r="32" spans="1:8" ht="14.25">
      <c r="A32" s="3"/>
      <c r="B32" s="40"/>
      <c r="C32" s="42"/>
      <c r="D32" s="40"/>
      <c r="E32" s="42"/>
      <c r="F32" s="40"/>
      <c r="G32" s="42"/>
      <c r="H32" s="40"/>
    </row>
    <row r="33" spans="1:8" ht="14.25">
      <c r="A33" s="3" t="s">
        <v>22</v>
      </c>
      <c r="B33" s="42"/>
      <c r="C33" s="42"/>
      <c r="D33" s="42"/>
      <c r="E33" s="42"/>
      <c r="F33" s="42"/>
      <c r="G33" s="42"/>
      <c r="H33" s="42"/>
    </row>
    <row r="34" spans="1:8" ht="15" thickBot="1">
      <c r="A34" s="3" t="s">
        <v>23</v>
      </c>
      <c r="B34" s="44">
        <f>F34-2561</f>
        <v>1176</v>
      </c>
      <c r="C34" s="38"/>
      <c r="D34" s="44">
        <v>1168</v>
      </c>
      <c r="E34" s="38"/>
      <c r="F34" s="44">
        <v>3737</v>
      </c>
      <c r="G34" s="38"/>
      <c r="H34" s="44">
        <v>7810</v>
      </c>
    </row>
    <row r="35" spans="1:8" ht="15" thickTop="1">
      <c r="A35" s="3"/>
      <c r="B35" s="38"/>
      <c r="C35" s="38"/>
      <c r="D35" s="38"/>
      <c r="E35" s="38"/>
      <c r="F35" s="38"/>
      <c r="G35" s="38"/>
      <c r="H35" s="38"/>
    </row>
    <row r="36" spans="1:8" ht="14.25">
      <c r="A36" s="3" t="s">
        <v>24</v>
      </c>
      <c r="B36" s="38"/>
      <c r="C36" s="38"/>
      <c r="D36" s="38"/>
      <c r="E36" s="38"/>
      <c r="F36" s="38"/>
      <c r="G36" s="38"/>
      <c r="H36" s="38"/>
    </row>
    <row r="37" spans="1:8" ht="14.25">
      <c r="A37" s="9" t="s">
        <v>69</v>
      </c>
      <c r="B37" s="38">
        <v>2.79</v>
      </c>
      <c r="C37" s="38"/>
      <c r="D37" s="75">
        <v>2.81</v>
      </c>
      <c r="E37" s="38"/>
      <c r="F37" s="38">
        <v>8.93</v>
      </c>
      <c r="G37" s="38"/>
      <c r="H37" s="77">
        <v>19.03</v>
      </c>
    </row>
    <row r="38" spans="1:8" ht="15" thickBot="1">
      <c r="A38" s="9" t="s">
        <v>70</v>
      </c>
      <c r="B38" s="45">
        <v>2.75</v>
      </c>
      <c r="C38" s="38"/>
      <c r="D38" s="76">
        <v>2.76</v>
      </c>
      <c r="E38" s="38"/>
      <c r="F38" s="45">
        <v>8.78</v>
      </c>
      <c r="G38" s="38"/>
      <c r="H38" s="78">
        <v>18.72</v>
      </c>
    </row>
    <row r="39" spans="1:8" ht="15" thickTop="1">
      <c r="A39" s="3"/>
      <c r="B39" s="3"/>
      <c r="C39" s="3"/>
      <c r="D39" s="3"/>
      <c r="E39" s="3"/>
      <c r="F39" s="3"/>
      <c r="G39" s="3"/>
      <c r="H39" s="3"/>
    </row>
    <row r="40" spans="1:8" ht="14.25">
      <c r="A40" s="3"/>
      <c r="B40" s="3"/>
      <c r="C40" s="3"/>
      <c r="D40" s="3"/>
      <c r="E40" s="3"/>
      <c r="F40" s="3"/>
      <c r="G40" s="3"/>
      <c r="H40" s="3"/>
    </row>
    <row r="41" spans="1:8" ht="14.25">
      <c r="A41" s="3" t="s">
        <v>25</v>
      </c>
      <c r="B41" s="3"/>
      <c r="C41" s="3"/>
      <c r="D41" s="3"/>
      <c r="E41" s="3"/>
      <c r="F41" s="3"/>
      <c r="G41" s="3"/>
      <c r="H41" s="3"/>
    </row>
    <row r="42" spans="1:8" ht="14.25">
      <c r="A42" s="3" t="s">
        <v>87</v>
      </c>
      <c r="B42" s="3"/>
      <c r="C42" s="3"/>
      <c r="D42" s="3"/>
      <c r="E42" s="3"/>
      <c r="F42" s="3"/>
      <c r="G42" s="3"/>
      <c r="H42" s="3"/>
    </row>
    <row r="43" spans="1:8" ht="14.25">
      <c r="A43" s="3"/>
      <c r="B43" s="3"/>
      <c r="C43" s="3"/>
      <c r="D43" s="3"/>
      <c r="E43" s="3"/>
      <c r="F43" s="3"/>
      <c r="G43" s="3"/>
      <c r="H43" s="3"/>
    </row>
    <row r="44" spans="1:8" ht="14.25">
      <c r="A44" s="3"/>
      <c r="B44" s="3"/>
      <c r="C44" s="3"/>
      <c r="D44" s="3"/>
      <c r="E44" s="3"/>
      <c r="F44" s="3"/>
      <c r="G44" s="3"/>
      <c r="H44" s="3"/>
    </row>
    <row r="45" spans="1:8" ht="14.25">
      <c r="A45" s="3"/>
      <c r="B45" s="3"/>
      <c r="C45" s="3"/>
      <c r="D45" s="3"/>
      <c r="E45" s="3"/>
      <c r="F45" s="3"/>
      <c r="G45" s="3"/>
      <c r="H45" s="3"/>
    </row>
    <row r="46" spans="1:8" ht="14.25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spans="1:8" ht="14.25">
      <c r="A48" s="3"/>
      <c r="B48" s="3"/>
      <c r="C48" s="3"/>
      <c r="D48" s="3"/>
      <c r="E48" s="3"/>
      <c r="F48" s="3"/>
      <c r="G48" s="3"/>
      <c r="H48" s="3"/>
    </row>
    <row r="49" spans="1:8" ht="14.25">
      <c r="A49" s="3"/>
      <c r="B49" s="3"/>
      <c r="C49" s="3"/>
      <c r="D49" s="3"/>
      <c r="E49" s="3"/>
      <c r="F49" s="3"/>
      <c r="G49" s="3"/>
      <c r="H49" s="3"/>
    </row>
    <row r="50" spans="1:8" ht="14.25">
      <c r="A50" s="3"/>
      <c r="B50" s="3"/>
      <c r="C50" s="3"/>
      <c r="D50" s="3"/>
      <c r="E50" s="3"/>
      <c r="F50" s="3"/>
      <c r="G50" s="3"/>
      <c r="H50" s="3"/>
    </row>
    <row r="51" spans="1:8" ht="14.25">
      <c r="A51" s="3"/>
      <c r="B51" s="3"/>
      <c r="C51" s="3"/>
      <c r="D51" s="3"/>
      <c r="E51" s="3"/>
      <c r="F51" s="3"/>
      <c r="G51" s="3"/>
      <c r="H51" s="3"/>
    </row>
    <row r="52" spans="1:8" ht="14.25">
      <c r="A52" s="3"/>
      <c r="B52" s="3"/>
      <c r="C52" s="3"/>
      <c r="D52" s="3"/>
      <c r="E52" s="3"/>
      <c r="F52" s="3"/>
      <c r="G52" s="3"/>
      <c r="H52" s="3"/>
    </row>
    <row r="53" spans="1:8" ht="14.25">
      <c r="A53" s="3"/>
      <c r="B53" s="3"/>
      <c r="C53" s="3"/>
      <c r="D53" s="3"/>
      <c r="E53" s="3"/>
      <c r="F53" s="3"/>
      <c r="G53" s="3"/>
      <c r="H53" s="3"/>
    </row>
    <row r="54" spans="1:8" ht="14.25">
      <c r="A54" s="3"/>
      <c r="B54" s="3"/>
      <c r="C54" s="3"/>
      <c r="D54" s="3"/>
      <c r="E54" s="3"/>
      <c r="F54" s="3"/>
      <c r="G54" s="3"/>
      <c r="H54" s="3"/>
    </row>
    <row r="55" spans="1:8" ht="14.25">
      <c r="A55" s="3"/>
      <c r="B55" s="3"/>
      <c r="C55" s="3"/>
      <c r="D55" s="3"/>
      <c r="E55" s="3"/>
      <c r="F55" s="3"/>
      <c r="G55" s="3"/>
      <c r="H55" s="3"/>
    </row>
    <row r="56" spans="1:8" ht="14.25">
      <c r="A56" s="3"/>
      <c r="B56" s="3"/>
      <c r="C56" s="3"/>
      <c r="D56" s="3"/>
      <c r="E56" s="3"/>
      <c r="F56" s="3"/>
      <c r="G56" s="3"/>
      <c r="H56" s="3"/>
    </row>
    <row r="57" spans="1:8" ht="14.25">
      <c r="A57" s="3"/>
      <c r="B57" s="3"/>
      <c r="C57" s="3"/>
      <c r="D57" s="3"/>
      <c r="E57" s="3"/>
      <c r="F57" s="3"/>
      <c r="G57" s="3"/>
      <c r="H57" s="3"/>
    </row>
    <row r="58" spans="1:8" ht="14.25">
      <c r="A58" s="3"/>
      <c r="B58" s="3"/>
      <c r="C58" s="3"/>
      <c r="D58" s="3"/>
      <c r="E58" s="3"/>
      <c r="F58" s="3"/>
      <c r="G58" s="3"/>
      <c r="H58" s="3"/>
    </row>
    <row r="59" spans="1:8" ht="14.25">
      <c r="A59" s="3"/>
      <c r="B59" s="3"/>
      <c r="C59" s="3"/>
      <c r="D59" s="3"/>
      <c r="E59" s="3"/>
      <c r="F59" s="3"/>
      <c r="G59" s="3"/>
      <c r="H59" s="3"/>
    </row>
    <row r="60" spans="1:8" ht="14.25">
      <c r="A60" s="3"/>
      <c r="B60" s="3"/>
      <c r="C60" s="3"/>
      <c r="D60" s="3"/>
      <c r="E60" s="3"/>
      <c r="F60" s="3"/>
      <c r="G60" s="3"/>
      <c r="H60" s="3"/>
    </row>
    <row r="61" spans="1:8" ht="14.25">
      <c r="A61" s="3"/>
      <c r="B61" s="3"/>
      <c r="C61" s="3"/>
      <c r="D61" s="3"/>
      <c r="E61" s="3"/>
      <c r="F61" s="3"/>
      <c r="G61" s="3"/>
      <c r="H61" s="3"/>
    </row>
    <row r="62" spans="1:8" ht="14.25">
      <c r="A62" s="3"/>
      <c r="B62" s="3"/>
      <c r="C62" s="3"/>
      <c r="D62" s="3"/>
      <c r="E62" s="3"/>
      <c r="F62" s="3"/>
      <c r="G62" s="3"/>
      <c r="H62" s="3"/>
    </row>
    <row r="63" spans="1:8" ht="14.25">
      <c r="A63" s="3"/>
      <c r="B63" s="3"/>
      <c r="C63" s="3"/>
      <c r="D63" s="3"/>
      <c r="E63" s="3"/>
      <c r="F63" s="3"/>
      <c r="G63" s="3"/>
      <c r="H63" s="3"/>
    </row>
    <row r="64" spans="1:8" ht="14.25">
      <c r="A64" s="3"/>
      <c r="B64" s="3"/>
      <c r="C64" s="3"/>
      <c r="D64" s="3"/>
      <c r="E64" s="3"/>
      <c r="F64" s="3"/>
      <c r="G64" s="3"/>
      <c r="H64" s="3"/>
    </row>
    <row r="65" spans="1:8" ht="14.25">
      <c r="A65" s="3"/>
      <c r="B65" s="3"/>
      <c r="C65" s="3"/>
      <c r="D65" s="3"/>
      <c r="E65" s="3"/>
      <c r="F65" s="3"/>
      <c r="G65" s="3"/>
      <c r="H65" s="3"/>
    </row>
    <row r="66" spans="1:8" ht="14.25">
      <c r="A66" s="3"/>
      <c r="B66" s="3"/>
      <c r="C66" s="3"/>
      <c r="D66" s="3"/>
      <c r="E66" s="3"/>
      <c r="F66" s="3"/>
      <c r="G66" s="3"/>
      <c r="H66" s="3"/>
    </row>
    <row r="67" spans="1:8" ht="14.25">
      <c r="A67" s="3"/>
      <c r="B67" s="3"/>
      <c r="C67" s="3"/>
      <c r="D67" s="3"/>
      <c r="E67" s="3"/>
      <c r="F67" s="3"/>
      <c r="G67" s="3"/>
      <c r="H67" s="3"/>
    </row>
    <row r="68" spans="1:8" ht="14.25">
      <c r="A68" s="3"/>
      <c r="B68" s="3"/>
      <c r="C68" s="3"/>
      <c r="D68" s="3"/>
      <c r="E68" s="3"/>
      <c r="F68" s="3"/>
      <c r="G68" s="3"/>
      <c r="H68" s="3"/>
    </row>
    <row r="69" spans="1:8" ht="14.25">
      <c r="A69" s="3"/>
      <c r="B69" s="3"/>
      <c r="C69" s="3"/>
      <c r="D69" s="3"/>
      <c r="E69" s="3"/>
      <c r="F69" s="3"/>
      <c r="G69" s="3"/>
      <c r="H69" s="3"/>
    </row>
    <row r="70" spans="1:8" ht="14.25">
      <c r="A70" s="3"/>
      <c r="B70" s="3"/>
      <c r="C70" s="3"/>
      <c r="D70" s="3"/>
      <c r="E70" s="3"/>
      <c r="F70" s="3"/>
      <c r="G70" s="3"/>
      <c r="H70" s="3"/>
    </row>
    <row r="71" spans="1:8" ht="14.25">
      <c r="A71" s="3"/>
      <c r="B71" s="3"/>
      <c r="C71" s="3"/>
      <c r="D71" s="3"/>
      <c r="E71" s="3"/>
      <c r="F71" s="3"/>
      <c r="G71" s="3"/>
      <c r="H71" s="3"/>
    </row>
    <row r="72" spans="1:8" ht="14.25">
      <c r="A72" s="3"/>
      <c r="B72" s="3"/>
      <c r="C72" s="3"/>
      <c r="D72" s="3"/>
      <c r="E72" s="3"/>
      <c r="F72" s="3"/>
      <c r="G72" s="3"/>
      <c r="H72" s="3"/>
    </row>
    <row r="73" spans="1:8" ht="14.25">
      <c r="A73" s="3"/>
      <c r="B73" s="3"/>
      <c r="C73" s="3"/>
      <c r="D73" s="3"/>
      <c r="E73" s="3"/>
      <c r="F73" s="3"/>
      <c r="G73" s="3"/>
      <c r="H73" s="3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(17547-W)&amp;"Arial,Regular"&amp;10
___________________________________________________________________________________</oddHead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9">
      <selection activeCell="F21" sqref="F21"/>
    </sheetView>
  </sheetViews>
  <sheetFormatPr defaultColWidth="9.140625" defaultRowHeight="12.75"/>
  <cols>
    <col min="6" max="6" width="12.8515625" style="0" customWidth="1"/>
    <col min="7" max="7" width="3.57421875" style="0" customWidth="1"/>
    <col min="8" max="8" width="12.00390625" style="0" customWidth="1"/>
    <col min="11" max="11" width="16.57421875" style="0" customWidth="1"/>
  </cols>
  <sheetData>
    <row r="1" ht="14.25">
      <c r="A1" s="1"/>
    </row>
    <row r="2" spans="1:11" ht="15">
      <c r="A2" s="20" t="s">
        <v>26</v>
      </c>
      <c r="K2" s="15"/>
    </row>
    <row r="4" spans="6:13" ht="12.75">
      <c r="F4" s="10" t="s">
        <v>1</v>
      </c>
      <c r="H4" s="10" t="s">
        <v>29</v>
      </c>
      <c r="M4" s="36"/>
    </row>
    <row r="5" spans="6:13" ht="12.75">
      <c r="F5" s="10" t="s">
        <v>28</v>
      </c>
      <c r="H5" s="10" t="s">
        <v>28</v>
      </c>
      <c r="M5" s="36"/>
    </row>
    <row r="6" spans="6:8" ht="12.75">
      <c r="F6" s="11" t="s">
        <v>146</v>
      </c>
      <c r="H6" s="11" t="s">
        <v>73</v>
      </c>
    </row>
    <row r="7" spans="6:8" ht="12.75">
      <c r="F7" s="12" t="s">
        <v>12</v>
      </c>
      <c r="H7" s="10" t="s">
        <v>12</v>
      </c>
    </row>
    <row r="8" spans="6:8" ht="12.75">
      <c r="F8" s="12"/>
      <c r="H8" s="10"/>
    </row>
    <row r="9" ht="12.75">
      <c r="A9" s="18" t="s">
        <v>49</v>
      </c>
    </row>
    <row r="10" spans="1:8" ht="12.75">
      <c r="A10" t="s">
        <v>50</v>
      </c>
      <c r="F10" s="24">
        <v>98080</v>
      </c>
      <c r="H10" s="15">
        <v>101535.205</v>
      </c>
    </row>
    <row r="11" spans="1:8" ht="12.75">
      <c r="A11" t="s">
        <v>51</v>
      </c>
      <c r="F11" s="24">
        <v>29847</v>
      </c>
      <c r="H11" s="15">
        <v>29847</v>
      </c>
    </row>
    <row r="12" spans="1:8" ht="12.75">
      <c r="A12" t="s">
        <v>52</v>
      </c>
      <c r="F12" s="24">
        <v>7070</v>
      </c>
      <c r="H12" s="15">
        <v>4261.63</v>
      </c>
    </row>
    <row r="13" spans="6:8" ht="12.75">
      <c r="F13" s="25">
        <f>SUM(F10:F12)</f>
        <v>134997</v>
      </c>
      <c r="H13" s="21">
        <f>SUM(H10:H12)</f>
        <v>135643.83500000002</v>
      </c>
    </row>
    <row r="14" s="13" customFormat="1" ht="12.75">
      <c r="F14" s="26"/>
    </row>
    <row r="15" spans="1:6" s="13" customFormat="1" ht="12.75">
      <c r="A15" s="19" t="s">
        <v>54</v>
      </c>
      <c r="F15" s="26"/>
    </row>
    <row r="16" spans="1:8" s="13" customFormat="1" ht="12.75">
      <c r="A16" s="16" t="s">
        <v>27</v>
      </c>
      <c r="F16" s="26">
        <v>15829</v>
      </c>
      <c r="H16" s="17">
        <v>14244.16</v>
      </c>
    </row>
    <row r="17" spans="1:8" s="13" customFormat="1" ht="12.75">
      <c r="A17" s="16" t="s">
        <v>55</v>
      </c>
      <c r="F17" s="26">
        <v>17348</v>
      </c>
      <c r="H17" s="17">
        <v>18845.19</v>
      </c>
    </row>
    <row r="18" spans="1:8" ht="12.75">
      <c r="A18" s="16" t="s">
        <v>56</v>
      </c>
      <c r="F18" s="24">
        <f>10082+1074+39+128+3843-4380</f>
        <v>10786</v>
      </c>
      <c r="H18" s="15">
        <f>4522+2012.321+178</f>
        <v>6712.321</v>
      </c>
    </row>
    <row r="19" spans="1:8" ht="12.75">
      <c r="A19" s="16" t="s">
        <v>57</v>
      </c>
      <c r="F19" s="28">
        <f>541+19+206</f>
        <v>766</v>
      </c>
      <c r="H19" s="15">
        <v>54.587</v>
      </c>
    </row>
    <row r="20" spans="1:8" ht="12.75">
      <c r="A20" s="16" t="s">
        <v>58</v>
      </c>
      <c r="F20" s="24">
        <f>8321+8000+4380</f>
        <v>20701</v>
      </c>
      <c r="H20" s="15">
        <v>13435</v>
      </c>
    </row>
    <row r="21" spans="6:8" ht="12.75">
      <c r="F21" s="25">
        <f>SUM(F16:F20)</f>
        <v>65430</v>
      </c>
      <c r="H21" s="21">
        <f>SUM(H16:H20)</f>
        <v>53291.258</v>
      </c>
    </row>
    <row r="22" ht="12.75">
      <c r="F22" s="24"/>
    </row>
    <row r="23" spans="1:6" ht="12.75">
      <c r="A23" s="18" t="s">
        <v>30</v>
      </c>
      <c r="F23" s="24"/>
    </row>
    <row r="24" spans="1:8" ht="12.75">
      <c r="A24" t="s">
        <v>31</v>
      </c>
      <c r="F24" s="24">
        <v>19329</v>
      </c>
      <c r="H24" s="15">
        <v>18115.373</v>
      </c>
    </row>
    <row r="25" spans="1:8" ht="12.75">
      <c r="A25" t="s">
        <v>59</v>
      </c>
      <c r="F25" s="24">
        <v>9370</v>
      </c>
      <c r="H25" s="15">
        <v>8499.278</v>
      </c>
    </row>
    <row r="26" spans="1:8" ht="12.75">
      <c r="A26" t="s">
        <v>60</v>
      </c>
      <c r="F26" s="24">
        <v>6601</v>
      </c>
      <c r="H26" s="15">
        <v>5848.044</v>
      </c>
    </row>
    <row r="27" spans="1:8" ht="12.75">
      <c r="A27" t="s">
        <v>61</v>
      </c>
      <c r="F27" s="24">
        <f>17178+32</f>
        <v>17210</v>
      </c>
      <c r="H27" s="15">
        <f>16474+38</f>
        <v>16512</v>
      </c>
    </row>
    <row r="28" spans="1:8" ht="12.75">
      <c r="A28" t="s">
        <v>62</v>
      </c>
      <c r="F28" s="24">
        <v>465</v>
      </c>
      <c r="H28" s="15">
        <v>834.13</v>
      </c>
    </row>
    <row r="29" spans="1:8" ht="12.75">
      <c r="A29" t="s">
        <v>63</v>
      </c>
      <c r="F29" s="24">
        <f>121+1028+1876</f>
        <v>3025</v>
      </c>
      <c r="H29" s="15">
        <f>1119+1201</f>
        <v>2320</v>
      </c>
    </row>
    <row r="30" spans="1:11" ht="12.75">
      <c r="A30" t="s">
        <v>64</v>
      </c>
      <c r="F30" s="28">
        <v>0</v>
      </c>
      <c r="H30" s="28">
        <v>0</v>
      </c>
      <c r="K30" s="13"/>
    </row>
    <row r="31" spans="6:11" ht="12.75">
      <c r="F31" s="25">
        <f>SUM(F24:F30)</f>
        <v>56000</v>
      </c>
      <c r="H31" s="21">
        <f>SUM(H24:H30)</f>
        <v>52128.825</v>
      </c>
      <c r="K31" s="26"/>
    </row>
    <row r="32" spans="6:11" ht="12.75">
      <c r="F32" s="24"/>
      <c r="K32" s="26"/>
    </row>
    <row r="33" spans="1:11" ht="12.75">
      <c r="A33" t="s">
        <v>76</v>
      </c>
      <c r="F33" s="24">
        <f>F21-F31</f>
        <v>9430</v>
      </c>
      <c r="H33" s="15">
        <f>H21-H31</f>
        <v>1162.4330000000045</v>
      </c>
      <c r="K33" s="26"/>
    </row>
    <row r="34" spans="6:11" ht="13.5" thickBot="1">
      <c r="F34" s="33">
        <f>F33+F13</f>
        <v>144427</v>
      </c>
      <c r="H34" s="34">
        <f>H33+H13</f>
        <v>136806.26800000004</v>
      </c>
      <c r="K34" s="13"/>
    </row>
    <row r="35" spans="6:11" ht="12.75">
      <c r="F35" s="24"/>
      <c r="K35" s="35"/>
    </row>
    <row r="36" spans="1:6" ht="12.75">
      <c r="A36" s="18" t="s">
        <v>33</v>
      </c>
      <c r="F36" s="24"/>
    </row>
    <row r="37" spans="1:8" ht="12.75">
      <c r="A37" t="s">
        <v>34</v>
      </c>
      <c r="F37" s="24">
        <v>42347</v>
      </c>
      <c r="H37" s="15">
        <v>41668</v>
      </c>
    </row>
    <row r="38" spans="1:8" ht="12.75">
      <c r="A38" t="s">
        <v>35</v>
      </c>
      <c r="F38" s="32">
        <f>16588+2839+33800+3737</f>
        <v>56964</v>
      </c>
      <c r="H38" s="31">
        <v>53092</v>
      </c>
    </row>
    <row r="39" spans="6:8" ht="12.75">
      <c r="F39" s="25">
        <f>SUM(F37:F38)</f>
        <v>99311</v>
      </c>
      <c r="H39" s="21">
        <f>SUM(H37:H38)</f>
        <v>94760</v>
      </c>
    </row>
    <row r="40" ht="12.75">
      <c r="F40" s="24"/>
    </row>
    <row r="41" spans="1:8" ht="12.75">
      <c r="A41" t="s">
        <v>48</v>
      </c>
      <c r="F41" s="24">
        <v>27477</v>
      </c>
      <c r="H41" s="15">
        <v>23910.53</v>
      </c>
    </row>
    <row r="42" spans="1:8" ht="12.75">
      <c r="A42" t="s">
        <v>62</v>
      </c>
      <c r="F42" s="24">
        <v>1702</v>
      </c>
      <c r="H42" s="15">
        <v>2198</v>
      </c>
    </row>
    <row r="43" spans="1:8" ht="12.75">
      <c r="A43" t="s">
        <v>32</v>
      </c>
      <c r="F43" s="24">
        <v>1997</v>
      </c>
      <c r="H43" s="15">
        <v>1997.204</v>
      </c>
    </row>
    <row r="44" spans="1:8" ht="12.75">
      <c r="A44" t="s">
        <v>36</v>
      </c>
      <c r="F44" s="24">
        <v>13940</v>
      </c>
      <c r="H44" s="15">
        <v>13939.956</v>
      </c>
    </row>
    <row r="45" spans="1:8" ht="12.75">
      <c r="A45" t="s">
        <v>65</v>
      </c>
      <c r="F45" s="25">
        <f>SUM(F41:F44)</f>
        <v>45116</v>
      </c>
      <c r="H45" s="21">
        <f>SUM(H41:H44)</f>
        <v>42045.69</v>
      </c>
    </row>
    <row r="46" spans="6:8" ht="13.5" thickBot="1">
      <c r="F46" s="33">
        <f>F39+F45</f>
        <v>144427</v>
      </c>
      <c r="H46" s="34">
        <f>H39+H45</f>
        <v>136805.69</v>
      </c>
    </row>
    <row r="47" ht="12.75">
      <c r="F47" s="27" t="s">
        <v>71</v>
      </c>
    </row>
    <row r="49" ht="12.75">
      <c r="A49" t="s">
        <v>66</v>
      </c>
    </row>
    <row r="50" ht="12.75">
      <c r="A50" t="s">
        <v>136</v>
      </c>
    </row>
    <row r="54" ht="12.75">
      <c r="F54" s="27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
____________________________________________________________________________________</oddHeader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4">
      <selection activeCell="E18" sqref="E18"/>
    </sheetView>
  </sheetViews>
  <sheetFormatPr defaultColWidth="9.140625" defaultRowHeight="12.75"/>
  <cols>
    <col min="2" max="2" width="11.8515625" style="0" customWidth="1"/>
    <col min="3" max="3" width="9.8515625" style="0" customWidth="1"/>
    <col min="4" max="4" width="2.00390625" style="0" customWidth="1"/>
    <col min="5" max="5" width="11.8515625" style="0" customWidth="1"/>
    <col min="6" max="6" width="2.00390625" style="0" customWidth="1"/>
    <col min="7" max="7" width="11.7109375" style="0" customWidth="1"/>
    <col min="8" max="8" width="1.57421875" style="0" customWidth="1"/>
    <col min="9" max="9" width="10.00390625" style="0" customWidth="1"/>
    <col min="10" max="10" width="1.7109375" style="0" customWidth="1"/>
    <col min="11" max="11" width="9.421875" style="0" customWidth="1"/>
    <col min="13" max="13" width="9.57421875" style="0" bestFit="1" customWidth="1"/>
  </cols>
  <sheetData>
    <row r="2" ht="15">
      <c r="A2" s="20" t="s">
        <v>37</v>
      </c>
    </row>
    <row r="3" ht="15">
      <c r="A3" s="20" t="s">
        <v>148</v>
      </c>
    </row>
    <row r="8" spans="5:9" ht="12.75">
      <c r="E8" s="87" t="s">
        <v>45</v>
      </c>
      <c r="F8" s="87"/>
      <c r="G8" s="87"/>
      <c r="H8" s="14"/>
      <c r="I8" t="s">
        <v>46</v>
      </c>
    </row>
    <row r="9" spans="3:10" ht="12.75">
      <c r="C9" s="10" t="s">
        <v>42</v>
      </c>
      <c r="D9" s="10"/>
      <c r="E9" s="10" t="s">
        <v>42</v>
      </c>
      <c r="F9" s="10"/>
      <c r="G9" s="10" t="s">
        <v>67</v>
      </c>
      <c r="H9" s="10"/>
      <c r="I9" s="10" t="s">
        <v>39</v>
      </c>
      <c r="J9" s="10"/>
    </row>
    <row r="10" spans="3:11" ht="12.75">
      <c r="C10" s="7" t="s">
        <v>44</v>
      </c>
      <c r="D10" s="7"/>
      <c r="E10" s="7" t="s">
        <v>43</v>
      </c>
      <c r="F10" s="7"/>
      <c r="G10" s="7" t="s">
        <v>41</v>
      </c>
      <c r="H10" s="7"/>
      <c r="I10" s="7" t="s">
        <v>40</v>
      </c>
      <c r="J10" s="7"/>
      <c r="K10" s="7" t="s">
        <v>38</v>
      </c>
    </row>
    <row r="11" spans="3:11" ht="12.75">
      <c r="C11" s="10" t="s">
        <v>12</v>
      </c>
      <c r="D11" s="10"/>
      <c r="E11" s="10" t="s">
        <v>12</v>
      </c>
      <c r="F11" s="10"/>
      <c r="G11" s="10" t="s">
        <v>12</v>
      </c>
      <c r="H11" s="10"/>
      <c r="I11" s="10" t="s">
        <v>12</v>
      </c>
      <c r="J11" s="10"/>
      <c r="K11" s="10" t="s">
        <v>12</v>
      </c>
    </row>
    <row r="13" spans="1:11" ht="12.75">
      <c r="A13" t="s">
        <v>85</v>
      </c>
      <c r="C13" s="15">
        <v>41668</v>
      </c>
      <c r="E13" s="15">
        <v>16453</v>
      </c>
      <c r="G13" s="15">
        <v>2839</v>
      </c>
      <c r="I13" s="15">
        <v>33800</v>
      </c>
      <c r="K13" s="15">
        <f>SUM(C13:J13)</f>
        <v>94760</v>
      </c>
    </row>
    <row r="14" spans="3:11" ht="12.75">
      <c r="C14" s="15"/>
      <c r="E14" s="15"/>
      <c r="G14" s="15"/>
      <c r="I14" s="15"/>
      <c r="K14" s="15"/>
    </row>
    <row r="15" spans="1:11" ht="12.75">
      <c r="A15" t="s">
        <v>68</v>
      </c>
      <c r="I15" s="15">
        <v>3737</v>
      </c>
      <c r="K15" s="15">
        <f>SUM(C15:I15)</f>
        <v>3737</v>
      </c>
    </row>
    <row r="17" spans="1:11" ht="12.75">
      <c r="A17" t="s">
        <v>47</v>
      </c>
      <c r="C17" s="15">
        <v>679</v>
      </c>
      <c r="E17">
        <v>135</v>
      </c>
      <c r="G17" s="23" t="s">
        <v>53</v>
      </c>
      <c r="I17" s="23" t="s">
        <v>53</v>
      </c>
      <c r="K17" s="15">
        <f>SUM(C17:I17)</f>
        <v>814</v>
      </c>
    </row>
    <row r="19" spans="1:11" ht="13.5" thickBot="1">
      <c r="A19" t="s">
        <v>151</v>
      </c>
      <c r="C19" s="22">
        <f>SUM(C13:C17)</f>
        <v>42347</v>
      </c>
      <c r="E19" s="22">
        <f>SUM(E13:E17)</f>
        <v>16588</v>
      </c>
      <c r="G19" s="22">
        <f>SUM(G13:G18)</f>
        <v>2839</v>
      </c>
      <c r="I19" s="22">
        <f>SUM(I13:I18)</f>
        <v>37537</v>
      </c>
      <c r="K19" s="22">
        <f>SUM(K13:K17)</f>
        <v>99311</v>
      </c>
    </row>
    <row r="28" ht="12.75">
      <c r="A28" t="s">
        <v>72</v>
      </c>
    </row>
    <row r="29" ht="12.75">
      <c r="A29" t="s">
        <v>86</v>
      </c>
    </row>
  </sheetData>
  <mergeCells count="1">
    <mergeCell ref="E8:G8"/>
  </mergeCells>
  <printOptions/>
  <pageMargins left="1" right="1" top="1" bottom="1" header="0.5" footer="0.55"/>
  <pageSetup horizontalDpi="600" verticalDpi="600" orientation="portrait" paperSize="9" r:id="rId2"/>
  <headerFooter alignWithMargins="0">
    <oddHeader>&amp;L&amp;"Times New Roman,Bold"&amp;11Sapura Motors Berhad (17547-W)
____________________________________________________________________________________</oddHeader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28">
      <selection activeCell="E58" sqref="E58"/>
    </sheetView>
  </sheetViews>
  <sheetFormatPr defaultColWidth="9.140625" defaultRowHeight="12.75"/>
  <cols>
    <col min="1" max="1" width="8.421875" style="0" customWidth="1"/>
    <col min="4" max="4" width="39.57421875" style="0" customWidth="1"/>
  </cols>
  <sheetData>
    <row r="1" ht="18">
      <c r="A1" s="46" t="s">
        <v>77</v>
      </c>
    </row>
    <row r="2" ht="18">
      <c r="A2" s="46" t="s">
        <v>149</v>
      </c>
    </row>
    <row r="5" spans="1:5" ht="12.75">
      <c r="A5" s="18" t="s">
        <v>152</v>
      </c>
      <c r="B5" s="18"/>
      <c r="C5" s="18"/>
      <c r="D5" s="18"/>
      <c r="E5" s="81" t="s">
        <v>153</v>
      </c>
    </row>
    <row r="6" spans="1:5" ht="12.75">
      <c r="A6" t="s">
        <v>154</v>
      </c>
      <c r="E6" s="24">
        <v>3605.967909999994</v>
      </c>
    </row>
    <row r="7" spans="1:5" ht="12.75">
      <c r="A7" t="s">
        <v>155</v>
      </c>
      <c r="E7" s="24"/>
    </row>
    <row r="8" spans="1:5" ht="12.75">
      <c r="A8" t="s">
        <v>156</v>
      </c>
      <c r="E8" s="24">
        <v>8751.226620000001</v>
      </c>
    </row>
    <row r="9" spans="1:5" ht="12.75">
      <c r="A9" t="s">
        <v>174</v>
      </c>
      <c r="E9" s="24">
        <v>5.597</v>
      </c>
    </row>
    <row r="10" spans="1:5" ht="12.75">
      <c r="A10" t="s">
        <v>157</v>
      </c>
      <c r="E10" s="24">
        <v>177.52100000000002</v>
      </c>
    </row>
    <row r="11" spans="1:5" ht="12.75">
      <c r="A11" t="s">
        <v>158</v>
      </c>
      <c r="E11" s="24">
        <v>1987.6970000000003</v>
      </c>
    </row>
    <row r="12" spans="1:5" ht="12.75">
      <c r="A12" t="s">
        <v>176</v>
      </c>
      <c r="E12" s="24">
        <v>53.3</v>
      </c>
    </row>
    <row r="13" spans="1:5" ht="12.75">
      <c r="A13" t="s">
        <v>159</v>
      </c>
      <c r="E13" s="24">
        <v>-1443.2380000000003</v>
      </c>
    </row>
    <row r="14" spans="1:5" ht="12.75">
      <c r="A14" t="s">
        <v>71</v>
      </c>
      <c r="E14" s="32"/>
    </row>
    <row r="15" spans="1:5" ht="12.75">
      <c r="A15" s="18" t="s">
        <v>177</v>
      </c>
      <c r="E15" s="85">
        <v>13138.071529999994</v>
      </c>
    </row>
    <row r="16" spans="1:5" s="79" customFormat="1" ht="12.75">
      <c r="A16"/>
      <c r="B16"/>
      <c r="C16"/>
      <c r="D16"/>
      <c r="E16" s="24"/>
    </row>
    <row r="17" spans="1:5" ht="12.75">
      <c r="A17" t="s">
        <v>180</v>
      </c>
      <c r="E17" s="24">
        <v>-6904</v>
      </c>
    </row>
    <row r="18" spans="1:5" ht="12.75">
      <c r="A18" t="s">
        <v>160</v>
      </c>
      <c r="E18" s="24">
        <v>-1585</v>
      </c>
    </row>
    <row r="19" spans="1:5" ht="12.75">
      <c r="A19" t="s">
        <v>178</v>
      </c>
      <c r="E19" s="24">
        <v>1451</v>
      </c>
    </row>
    <row r="20" spans="1:5" ht="12.75">
      <c r="A20" t="s">
        <v>161</v>
      </c>
      <c r="E20" s="32">
        <v>-5</v>
      </c>
    </row>
    <row r="21" ht="12.75">
      <c r="E21" s="83">
        <v>6095.071529999994</v>
      </c>
    </row>
    <row r="22" spans="1:5" ht="12.75">
      <c r="A22" t="s">
        <v>78</v>
      </c>
      <c r="E22" s="24">
        <v>-131.411</v>
      </c>
    </row>
    <row r="23" spans="1:5" ht="12.75">
      <c r="A23" t="s">
        <v>79</v>
      </c>
      <c r="E23" s="24">
        <v>-1987.6970000000003</v>
      </c>
    </row>
    <row r="24" ht="12.75">
      <c r="E24" s="32"/>
    </row>
    <row r="25" spans="1:5" ht="12.75">
      <c r="A25" s="18" t="s">
        <v>162</v>
      </c>
      <c r="E25" s="82">
        <v>3975.9635299999936</v>
      </c>
    </row>
    <row r="26" ht="12.75">
      <c r="E26" s="24"/>
    </row>
    <row r="27" ht="12.75">
      <c r="E27" s="24"/>
    </row>
    <row r="28" spans="1:5" ht="12.75">
      <c r="A28" s="18" t="s">
        <v>163</v>
      </c>
      <c r="E28" s="24"/>
    </row>
    <row r="29" spans="1:5" ht="12.75">
      <c r="A29" t="s">
        <v>80</v>
      </c>
      <c r="E29" s="24">
        <v>-3861.082</v>
      </c>
    </row>
    <row r="30" spans="1:5" ht="12.75">
      <c r="A30" t="s">
        <v>81</v>
      </c>
      <c r="E30" s="24">
        <v>-2987.521</v>
      </c>
    </row>
    <row r="31" spans="1:5" ht="12.75">
      <c r="A31" t="s">
        <v>179</v>
      </c>
      <c r="E31" s="24">
        <v>1443.2380000000003</v>
      </c>
    </row>
    <row r="32" ht="12.75">
      <c r="E32" s="32"/>
    </row>
    <row r="33" spans="1:5" ht="12.75">
      <c r="A33" s="18" t="s">
        <v>164</v>
      </c>
      <c r="E33" s="82">
        <v>-5406</v>
      </c>
    </row>
    <row r="34" ht="12.75">
      <c r="E34" s="24"/>
    </row>
    <row r="35" spans="1:5" ht="12.75">
      <c r="A35" s="18" t="s">
        <v>165</v>
      </c>
      <c r="E35" s="24" t="s">
        <v>71</v>
      </c>
    </row>
    <row r="36" spans="1:5" ht="12.75">
      <c r="A36" t="s">
        <v>82</v>
      </c>
      <c r="E36" s="24">
        <v>814</v>
      </c>
    </row>
    <row r="37" spans="1:5" ht="12.75">
      <c r="A37" t="s">
        <v>175</v>
      </c>
      <c r="E37" s="24">
        <v>9557.089</v>
      </c>
    </row>
    <row r="38" spans="1:5" ht="12.75">
      <c r="A38" t="s">
        <v>83</v>
      </c>
      <c r="E38" s="24">
        <v>-7874.526</v>
      </c>
    </row>
    <row r="39" spans="1:5" ht="12.75">
      <c r="A39" t="s">
        <v>166</v>
      </c>
      <c r="E39" s="24">
        <v>-2095.1</v>
      </c>
    </row>
    <row r="40" spans="1:5" ht="12.75">
      <c r="A40" t="s">
        <v>138</v>
      </c>
      <c r="E40" s="24">
        <v>-4133.341</v>
      </c>
    </row>
    <row r="41" spans="1:5" ht="12.75">
      <c r="A41" t="s">
        <v>167</v>
      </c>
      <c r="E41" s="24">
        <v>46</v>
      </c>
    </row>
    <row r="42" spans="1:5" ht="12.75">
      <c r="A42" t="s">
        <v>137</v>
      </c>
      <c r="E42" s="24">
        <v>8960.341</v>
      </c>
    </row>
    <row r="43" spans="1:5" ht="12.75">
      <c r="A43" t="s">
        <v>168</v>
      </c>
      <c r="E43" s="24">
        <v>-868</v>
      </c>
    </row>
    <row r="44" ht="12.75">
      <c r="E44" s="32"/>
    </row>
    <row r="45" spans="1:5" ht="12.75">
      <c r="A45" s="18" t="s">
        <v>169</v>
      </c>
      <c r="E45" s="82">
        <v>4406</v>
      </c>
    </row>
    <row r="46" ht="12.75">
      <c r="E46" s="24"/>
    </row>
    <row r="47" spans="1:5" ht="12.75">
      <c r="A47" s="18" t="s">
        <v>170</v>
      </c>
      <c r="B47" s="18"/>
      <c r="C47" s="18"/>
      <c r="D47" s="18"/>
      <c r="E47" s="86">
        <v>2976</v>
      </c>
    </row>
    <row r="48" spans="1:5" ht="12.75">
      <c r="A48" s="18" t="s">
        <v>171</v>
      </c>
      <c r="B48" s="18"/>
      <c r="C48" s="18"/>
      <c r="D48" s="18"/>
      <c r="E48" s="86">
        <v>11927</v>
      </c>
    </row>
    <row r="49" spans="1:5" ht="13.5" thickBot="1">
      <c r="A49" s="18"/>
      <c r="B49" s="18"/>
      <c r="C49" s="18"/>
      <c r="D49" s="18"/>
      <c r="E49" s="84">
        <v>14903.061529999994</v>
      </c>
    </row>
    <row r="50" spans="1:5" ht="13.5" thickTop="1">
      <c r="A50" s="18" t="s">
        <v>172</v>
      </c>
      <c r="B50" s="18"/>
      <c r="C50" s="18"/>
      <c r="D50" s="18"/>
      <c r="E50" s="83"/>
    </row>
    <row r="51" spans="1:5" ht="12.75">
      <c r="A51" t="s">
        <v>84</v>
      </c>
      <c r="E51" s="24"/>
    </row>
    <row r="52" spans="2:5" ht="12.75">
      <c r="B52" s="18" t="s">
        <v>173</v>
      </c>
      <c r="C52" s="18"/>
      <c r="D52" s="18"/>
      <c r="E52" s="86">
        <v>8320.734000000002</v>
      </c>
    </row>
    <row r="53" spans="2:5" ht="12.75">
      <c r="B53" s="18" t="s">
        <v>143</v>
      </c>
      <c r="C53" s="18"/>
      <c r="D53" s="18"/>
      <c r="E53" s="86">
        <v>-1417.542</v>
      </c>
    </row>
    <row r="54" spans="2:5" ht="12.75">
      <c r="B54" s="18" t="s">
        <v>144</v>
      </c>
      <c r="C54" s="18"/>
      <c r="D54" s="18"/>
      <c r="E54" s="86">
        <v>8000</v>
      </c>
    </row>
    <row r="55" spans="2:5" ht="13.5" thickBot="1">
      <c r="B55" s="18"/>
      <c r="C55" s="18"/>
      <c r="D55" s="18"/>
      <c r="E55" s="84">
        <v>14903.192000000003</v>
      </c>
    </row>
    <row r="56" ht="13.5" thickTop="1"/>
    <row r="58" ht="41.25" customHeight="1"/>
  </sheetData>
  <printOptions horizontalCentered="1" verticalCentered="1"/>
  <pageMargins left="0.75" right="0.75" top="1" bottom="1" header="0.5" footer="0.5"/>
  <pageSetup fitToHeight="1" fitToWidth="1" horizontalDpi="600" verticalDpi="600" orientation="portrait" scale="93" r:id="rId1"/>
  <headerFooter alignWithMargins="0">
    <oddHeader>&amp;L&amp;"Arial,Bold"Sapura Motors Berhad (17547-W)&amp;"Arial,Regular"
________________________________________________________________________________</oddHeader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F19" sqref="F19"/>
    </sheetView>
  </sheetViews>
  <sheetFormatPr defaultColWidth="9.140625" defaultRowHeight="12.75"/>
  <cols>
    <col min="6" max="6" width="17.28125" style="0" customWidth="1"/>
    <col min="7" max="7" width="14.00390625" style="0" customWidth="1"/>
    <col min="9" max="9" width="13.140625" style="0" customWidth="1"/>
  </cols>
  <sheetData>
    <row r="1" spans="1:12" ht="12.75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49"/>
    </row>
    <row r="2" spans="1:12" ht="12.75">
      <c r="A2" s="51" t="s">
        <v>105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49"/>
    </row>
    <row r="3" spans="1:12" ht="12.75">
      <c r="A3" s="51"/>
      <c r="B3" s="49"/>
      <c r="C3" s="49"/>
      <c r="D3" s="49"/>
      <c r="E3" s="49"/>
      <c r="F3" s="49"/>
      <c r="G3" s="49"/>
      <c r="H3" s="49"/>
      <c r="I3" s="49"/>
      <c r="J3" s="50"/>
      <c r="K3" s="50"/>
      <c r="L3" s="52"/>
    </row>
    <row r="4" spans="1:12" ht="13.5">
      <c r="A4" s="52"/>
      <c r="B4" s="53" t="s">
        <v>89</v>
      </c>
      <c r="C4" s="49"/>
      <c r="D4" s="49"/>
      <c r="E4" s="49"/>
      <c r="F4" s="49"/>
      <c r="G4" s="49"/>
      <c r="H4" s="49"/>
      <c r="I4" s="53" t="s">
        <v>90</v>
      </c>
      <c r="J4" s="50"/>
      <c r="K4" s="52"/>
      <c r="L4" s="50"/>
    </row>
    <row r="5" spans="1:12" ht="12.75">
      <c r="A5" s="51"/>
      <c r="B5" s="49"/>
      <c r="C5" s="49"/>
      <c r="D5" s="49"/>
      <c r="E5" s="49"/>
      <c r="F5" s="49"/>
      <c r="G5" s="49"/>
      <c r="H5" s="49"/>
      <c r="I5" s="49"/>
      <c r="J5" s="50"/>
      <c r="K5" s="49"/>
      <c r="L5" s="50"/>
    </row>
    <row r="6" spans="1:12" ht="12.75">
      <c r="A6" s="49"/>
      <c r="B6" s="54" t="s">
        <v>141</v>
      </c>
      <c r="C6" s="49"/>
      <c r="D6" s="49"/>
      <c r="E6" s="49"/>
      <c r="F6" s="49"/>
      <c r="G6" s="50">
        <v>3737000</v>
      </c>
      <c r="H6" s="49"/>
      <c r="I6" s="49" t="s">
        <v>91</v>
      </c>
      <c r="J6" s="50"/>
      <c r="K6" s="49"/>
      <c r="L6" s="50"/>
    </row>
    <row r="7" spans="1:12" ht="12.75">
      <c r="A7" s="51"/>
      <c r="B7" s="49"/>
      <c r="C7" s="49"/>
      <c r="D7" s="49"/>
      <c r="E7" s="49"/>
      <c r="F7" s="49"/>
      <c r="G7" s="49"/>
      <c r="H7" s="49"/>
      <c r="I7" s="55"/>
      <c r="J7" s="50"/>
      <c r="K7" s="49"/>
      <c r="L7" s="50"/>
    </row>
    <row r="8" spans="1:12" ht="12.75">
      <c r="A8" s="49"/>
      <c r="B8" s="54" t="s">
        <v>92</v>
      </c>
      <c r="C8" s="49"/>
      <c r="D8" s="49"/>
      <c r="E8" s="49"/>
      <c r="F8" s="49"/>
      <c r="G8" s="49"/>
      <c r="H8" s="49"/>
      <c r="I8" s="49">
        <f>D7+G7+G8</f>
        <v>0</v>
      </c>
      <c r="J8" s="50"/>
      <c r="K8" s="49"/>
      <c r="L8" s="50"/>
    </row>
    <row r="9" spans="1:12" ht="12.75">
      <c r="A9" s="49"/>
      <c r="B9" s="54"/>
      <c r="C9" s="49"/>
      <c r="D9" s="49"/>
      <c r="E9" s="56" t="s">
        <v>93</v>
      </c>
      <c r="F9" s="56" t="s">
        <v>94</v>
      </c>
      <c r="G9" s="57" t="s">
        <v>95</v>
      </c>
      <c r="H9" s="49"/>
      <c r="I9" s="49"/>
      <c r="J9" s="50"/>
      <c r="K9" s="49"/>
      <c r="L9" s="50"/>
    </row>
    <row r="10" spans="1:12" ht="12.75">
      <c r="A10" s="50"/>
      <c r="B10" s="58" t="s">
        <v>96</v>
      </c>
      <c r="C10" s="50"/>
      <c r="D10" s="50"/>
      <c r="E10" s="59">
        <v>0</v>
      </c>
      <c r="F10" s="59">
        <v>41668000</v>
      </c>
      <c r="G10" s="60">
        <v>0</v>
      </c>
      <c r="H10" s="50"/>
      <c r="I10" s="50"/>
      <c r="J10" s="50"/>
      <c r="K10" s="49"/>
      <c r="L10" s="50"/>
    </row>
    <row r="11" spans="1:12" ht="12.75">
      <c r="A11" s="50"/>
      <c r="B11" s="58" t="s">
        <v>97</v>
      </c>
      <c r="C11" s="50"/>
      <c r="D11" s="50"/>
      <c r="E11" s="59">
        <f>F11-F10</f>
        <v>0</v>
      </c>
      <c r="F11" s="59">
        <v>41668000</v>
      </c>
      <c r="G11" s="60">
        <f aca="true" t="shared" si="0" ref="G11:G18">F11/9</f>
        <v>4629777.777777778</v>
      </c>
      <c r="H11" s="50"/>
      <c r="I11" s="50"/>
      <c r="J11" s="50"/>
      <c r="K11" s="49"/>
      <c r="L11" s="50"/>
    </row>
    <row r="12" spans="1:12" ht="12.75">
      <c r="A12" s="50"/>
      <c r="B12" s="58" t="s">
        <v>98</v>
      </c>
      <c r="C12" s="50"/>
      <c r="D12" s="50"/>
      <c r="E12" s="59">
        <f aca="true" t="shared" si="1" ref="E12:E22">F12-F11</f>
        <v>0</v>
      </c>
      <c r="F12" s="59">
        <v>41668000</v>
      </c>
      <c r="G12" s="60">
        <f t="shared" si="0"/>
        <v>4629777.777777778</v>
      </c>
      <c r="H12" s="50"/>
      <c r="I12" s="50"/>
      <c r="J12" s="50"/>
      <c r="K12" s="49"/>
      <c r="L12" s="50"/>
    </row>
    <row r="13" spans="1:12" ht="12.75">
      <c r="A13" s="50"/>
      <c r="B13" s="58" t="s">
        <v>99</v>
      </c>
      <c r="C13" s="50"/>
      <c r="D13" s="50"/>
      <c r="E13" s="59">
        <f t="shared" si="1"/>
        <v>6000</v>
      </c>
      <c r="F13" s="59">
        <v>41674000</v>
      </c>
      <c r="G13" s="60">
        <f t="shared" si="0"/>
        <v>4630444.444444444</v>
      </c>
      <c r="H13" s="50"/>
      <c r="I13" s="50"/>
      <c r="J13" s="50"/>
      <c r="K13" s="49"/>
      <c r="L13" s="50"/>
    </row>
    <row r="14" spans="1:12" ht="12.75">
      <c r="A14" s="50"/>
      <c r="B14" s="58" t="s">
        <v>100</v>
      </c>
      <c r="C14" s="50"/>
      <c r="D14" s="50"/>
      <c r="E14" s="59">
        <f t="shared" si="1"/>
        <v>0</v>
      </c>
      <c r="F14" s="59">
        <v>41674000</v>
      </c>
      <c r="G14" s="60">
        <f t="shared" si="0"/>
        <v>4630444.444444444</v>
      </c>
      <c r="H14" s="50"/>
      <c r="I14" s="50"/>
      <c r="J14" s="50"/>
      <c r="K14" s="49"/>
      <c r="L14" s="50"/>
    </row>
    <row r="15" spans="1:12" ht="12.75">
      <c r="A15" s="50"/>
      <c r="B15" s="58" t="s">
        <v>101</v>
      </c>
      <c r="C15" s="50"/>
      <c r="D15" s="50"/>
      <c r="E15" s="59">
        <f t="shared" si="1"/>
        <v>17000</v>
      </c>
      <c r="F15" s="59">
        <v>41691000</v>
      </c>
      <c r="G15" s="60">
        <f t="shared" si="0"/>
        <v>4632333.333333333</v>
      </c>
      <c r="H15" s="50"/>
      <c r="I15" s="50"/>
      <c r="J15" s="50"/>
      <c r="K15" s="49"/>
      <c r="L15" s="50"/>
    </row>
    <row r="16" spans="1:12" ht="12.75">
      <c r="A16" s="50"/>
      <c r="B16" s="58" t="s">
        <v>102</v>
      </c>
      <c r="C16" s="50"/>
      <c r="D16" s="50"/>
      <c r="E16" s="59">
        <f t="shared" si="1"/>
        <v>97000</v>
      </c>
      <c r="F16" s="59">
        <v>41788000</v>
      </c>
      <c r="G16" s="60">
        <f t="shared" si="0"/>
        <v>4643111.111111111</v>
      </c>
      <c r="H16" s="50"/>
      <c r="I16" s="50"/>
      <c r="J16" s="50"/>
      <c r="K16" s="49"/>
      <c r="L16" s="50"/>
    </row>
    <row r="17" spans="1:12" ht="12.75">
      <c r="A17" s="50"/>
      <c r="B17" s="58" t="s">
        <v>103</v>
      </c>
      <c r="C17" s="50"/>
      <c r="D17" s="50"/>
      <c r="E17" s="59">
        <f t="shared" si="1"/>
        <v>175000</v>
      </c>
      <c r="F17" s="59">
        <v>41963000</v>
      </c>
      <c r="G17" s="60">
        <f t="shared" si="0"/>
        <v>4662555.555555556</v>
      </c>
      <c r="H17" s="50"/>
      <c r="I17" s="50"/>
      <c r="J17" s="50"/>
      <c r="K17" s="50"/>
      <c r="L17" s="50"/>
    </row>
    <row r="18" spans="1:12" ht="12.75">
      <c r="A18" s="50"/>
      <c r="B18" s="58" t="s">
        <v>104</v>
      </c>
      <c r="C18" s="50"/>
      <c r="D18" s="50"/>
      <c r="E18" s="59">
        <f t="shared" si="1"/>
        <v>128000</v>
      </c>
      <c r="F18" s="59">
        <v>42091000</v>
      </c>
      <c r="G18" s="60">
        <f t="shared" si="0"/>
        <v>4676777.777777778</v>
      </c>
      <c r="H18" s="50"/>
      <c r="I18" s="50"/>
      <c r="J18" s="50"/>
      <c r="K18" s="50"/>
      <c r="L18" s="50"/>
    </row>
    <row r="19" spans="1:12" ht="12.75">
      <c r="A19" s="50"/>
      <c r="B19" s="58" t="s">
        <v>105</v>
      </c>
      <c r="C19" s="50"/>
      <c r="D19" s="50"/>
      <c r="E19" s="59">
        <f t="shared" si="1"/>
        <v>256000</v>
      </c>
      <c r="F19" s="59">
        <v>42347000</v>
      </c>
      <c r="G19" s="60">
        <f>F19/9</f>
        <v>4705222.222222222</v>
      </c>
      <c r="H19" s="50"/>
      <c r="I19" s="50"/>
      <c r="J19" s="50"/>
      <c r="K19" s="49"/>
      <c r="L19" s="50"/>
    </row>
    <row r="20" spans="1:12" ht="12.75">
      <c r="A20" s="50"/>
      <c r="B20" s="58" t="s">
        <v>106</v>
      </c>
      <c r="C20" s="50"/>
      <c r="D20" s="50"/>
      <c r="E20" s="59">
        <f t="shared" si="1"/>
        <v>0</v>
      </c>
      <c r="F20" s="59">
        <v>42347000</v>
      </c>
      <c r="G20" s="60">
        <f>F20/12*0</f>
        <v>0</v>
      </c>
      <c r="H20" s="50"/>
      <c r="I20" s="50"/>
      <c r="J20" s="50"/>
      <c r="K20" s="49"/>
      <c r="L20" s="50"/>
    </row>
    <row r="21" spans="1:12" ht="12.75">
      <c r="A21" s="50"/>
      <c r="B21" s="58" t="s">
        <v>107</v>
      </c>
      <c r="C21" s="50"/>
      <c r="D21" s="50"/>
      <c r="E21" s="59">
        <f t="shared" si="1"/>
        <v>0</v>
      </c>
      <c r="F21" s="59">
        <v>42347000</v>
      </c>
      <c r="G21" s="60">
        <f>F21/12*0</f>
        <v>0</v>
      </c>
      <c r="H21" s="50"/>
      <c r="I21" s="50"/>
      <c r="J21" s="50"/>
      <c r="K21" s="49"/>
      <c r="L21" s="50"/>
    </row>
    <row r="22" spans="1:12" ht="12.75">
      <c r="A22" s="50"/>
      <c r="B22" s="58" t="s">
        <v>108</v>
      </c>
      <c r="C22" s="50"/>
      <c r="D22" s="50"/>
      <c r="E22" s="59">
        <f t="shared" si="1"/>
        <v>0</v>
      </c>
      <c r="F22" s="59">
        <v>42347000</v>
      </c>
      <c r="G22" s="60">
        <f>F22/12*0</f>
        <v>0</v>
      </c>
      <c r="H22" s="50"/>
      <c r="I22" s="50"/>
      <c r="J22" s="61"/>
      <c r="K22" s="49"/>
      <c r="L22" s="61"/>
    </row>
    <row r="23" spans="1:12" ht="13.5" thickBot="1">
      <c r="A23" s="49"/>
      <c r="B23" s="49"/>
      <c r="C23" s="49"/>
      <c r="D23" s="49"/>
      <c r="E23" s="62">
        <f>SUM(E10:E22)</f>
        <v>679000</v>
      </c>
      <c r="F23" s="63"/>
      <c r="G23" s="64">
        <f>SUM(G10:G22)</f>
        <v>41840444.44444445</v>
      </c>
      <c r="H23" s="49"/>
      <c r="I23" s="49" t="s">
        <v>109</v>
      </c>
      <c r="J23" s="50"/>
      <c r="K23" s="49"/>
      <c r="L23" s="50"/>
    </row>
    <row r="24" spans="1:12" ht="13.5" thickTop="1">
      <c r="A24" s="49"/>
      <c r="B24" s="49"/>
      <c r="C24" s="49"/>
      <c r="D24" s="49"/>
      <c r="E24" s="49"/>
      <c r="F24" s="50"/>
      <c r="G24" s="49"/>
      <c r="H24" s="49"/>
      <c r="I24" s="49"/>
      <c r="J24" s="50"/>
      <c r="K24" s="65"/>
      <c r="L24" s="50"/>
    </row>
    <row r="25" spans="1:12" ht="12.75">
      <c r="A25" s="49"/>
      <c r="B25" s="54" t="s">
        <v>110</v>
      </c>
      <c r="C25" s="49"/>
      <c r="D25" s="49"/>
      <c r="E25" s="49"/>
      <c r="F25" s="63"/>
      <c r="G25" s="66">
        <v>1.82</v>
      </c>
      <c r="H25" s="49"/>
      <c r="I25" s="49" t="s">
        <v>150</v>
      </c>
      <c r="J25" s="50"/>
      <c r="K25" s="65"/>
      <c r="L25" s="50"/>
    </row>
    <row r="26" spans="1:12" ht="12.75">
      <c r="A26" s="49"/>
      <c r="B26" s="49"/>
      <c r="C26" s="49"/>
      <c r="D26" s="49"/>
      <c r="E26" s="49"/>
      <c r="F26" s="49"/>
      <c r="G26" s="67"/>
      <c r="H26" s="49"/>
      <c r="I26" s="49"/>
      <c r="J26" s="50"/>
      <c r="K26" s="65"/>
      <c r="L26" s="50"/>
    </row>
    <row r="27" spans="1:12" ht="12.75">
      <c r="A27" s="49"/>
      <c r="B27" s="54" t="s">
        <v>111</v>
      </c>
      <c r="C27" s="49"/>
      <c r="D27" s="49"/>
      <c r="E27" s="49"/>
      <c r="F27" s="49"/>
      <c r="G27" s="67"/>
      <c r="H27" s="49"/>
      <c r="I27" s="49"/>
      <c r="J27" s="50"/>
      <c r="K27" s="65"/>
      <c r="L27" s="50"/>
    </row>
    <row r="28" spans="1:12" ht="12.75">
      <c r="A28" s="49"/>
      <c r="B28" s="49"/>
      <c r="C28" s="49"/>
      <c r="D28" s="49"/>
      <c r="E28" s="56" t="s">
        <v>93</v>
      </c>
      <c r="F28" s="56" t="s">
        <v>112</v>
      </c>
      <c r="G28" s="68" t="s">
        <v>95</v>
      </c>
      <c r="H28" s="49"/>
      <c r="I28" s="49"/>
      <c r="J28" s="50"/>
      <c r="K28" s="49"/>
      <c r="L28" s="50"/>
    </row>
    <row r="29" spans="1:12" ht="12.75">
      <c r="A29" s="49"/>
      <c r="B29" s="58" t="s">
        <v>113</v>
      </c>
      <c r="C29" s="49"/>
      <c r="D29" s="49"/>
      <c r="E29" s="50">
        <v>2246000</v>
      </c>
      <c r="F29" s="50">
        <v>0</v>
      </c>
      <c r="G29" s="69">
        <f>E29*12/12</f>
        <v>2246000</v>
      </c>
      <c r="H29" s="49"/>
      <c r="I29" s="49"/>
      <c r="J29" s="50"/>
      <c r="K29" s="49"/>
      <c r="L29" s="50"/>
    </row>
    <row r="30" spans="1:12" ht="12.75">
      <c r="A30" s="49"/>
      <c r="B30" s="58" t="s">
        <v>114</v>
      </c>
      <c r="C30" s="49"/>
      <c r="D30" s="49"/>
      <c r="E30" s="50">
        <f aca="true" t="shared" si="2" ref="E30:E41">-E11</f>
        <v>0</v>
      </c>
      <c r="F30" s="50">
        <f>E30+F29</f>
        <v>0</v>
      </c>
      <c r="G30" s="69">
        <f>E30*9/9</f>
        <v>0</v>
      </c>
      <c r="H30" s="49"/>
      <c r="I30" s="49"/>
      <c r="J30" s="50"/>
      <c r="K30" s="49"/>
      <c r="L30" s="50"/>
    </row>
    <row r="31" spans="1:12" ht="12.75">
      <c r="A31" s="49"/>
      <c r="B31" s="58" t="s">
        <v>115</v>
      </c>
      <c r="C31" s="49"/>
      <c r="D31" s="49"/>
      <c r="E31" s="50">
        <f t="shared" si="2"/>
        <v>0</v>
      </c>
      <c r="F31" s="50">
        <f aca="true" t="shared" si="3" ref="F31:F41">E31+F30</f>
        <v>0</v>
      </c>
      <c r="G31" s="69">
        <f>E31*8/9</f>
        <v>0</v>
      </c>
      <c r="H31" s="49"/>
      <c r="I31" s="49"/>
      <c r="J31" s="50"/>
      <c r="K31" s="49"/>
      <c r="L31" s="50"/>
    </row>
    <row r="32" spans="1:12" ht="12.75">
      <c r="A32" s="49"/>
      <c r="B32" s="58" t="s">
        <v>116</v>
      </c>
      <c r="C32" s="49"/>
      <c r="D32" s="49"/>
      <c r="E32" s="50">
        <f t="shared" si="2"/>
        <v>-6000</v>
      </c>
      <c r="F32" s="50">
        <f t="shared" si="3"/>
        <v>-6000</v>
      </c>
      <c r="G32" s="69">
        <f>E32*7/9</f>
        <v>-4666.666666666667</v>
      </c>
      <c r="H32" s="49"/>
      <c r="I32" s="49"/>
      <c r="J32" s="50"/>
      <c r="K32" s="49"/>
      <c r="L32" s="50"/>
    </row>
    <row r="33" spans="1:12" ht="12.75">
      <c r="A33" s="49"/>
      <c r="B33" s="58" t="s">
        <v>117</v>
      </c>
      <c r="C33" s="49"/>
      <c r="D33" s="49"/>
      <c r="E33" s="50">
        <f t="shared" si="2"/>
        <v>0</v>
      </c>
      <c r="F33" s="50">
        <f t="shared" si="3"/>
        <v>-6000</v>
      </c>
      <c r="G33" s="69">
        <f>E33*6/9</f>
        <v>0</v>
      </c>
      <c r="H33" s="49"/>
      <c r="I33" s="49"/>
      <c r="J33" s="50"/>
      <c r="K33" s="49"/>
      <c r="L33" s="50"/>
    </row>
    <row r="34" spans="1:12" ht="12.75">
      <c r="A34" s="49"/>
      <c r="B34" s="58" t="s">
        <v>118</v>
      </c>
      <c r="C34" s="49"/>
      <c r="D34" s="49"/>
      <c r="E34" s="50">
        <f t="shared" si="2"/>
        <v>-17000</v>
      </c>
      <c r="F34" s="50">
        <f t="shared" si="3"/>
        <v>-23000</v>
      </c>
      <c r="G34" s="69">
        <f>E34*5/9</f>
        <v>-9444.444444444445</v>
      </c>
      <c r="H34" s="49"/>
      <c r="I34" s="49"/>
      <c r="J34" s="50"/>
      <c r="K34" s="49"/>
      <c r="L34" s="50"/>
    </row>
    <row r="35" spans="1:12" ht="12.75">
      <c r="A35" s="49"/>
      <c r="B35" s="58" t="s">
        <v>119</v>
      </c>
      <c r="C35" s="49"/>
      <c r="D35" s="49"/>
      <c r="E35" s="50">
        <f t="shared" si="2"/>
        <v>-97000</v>
      </c>
      <c r="F35" s="50">
        <f t="shared" si="3"/>
        <v>-120000</v>
      </c>
      <c r="G35" s="69">
        <f>E35*4/9</f>
        <v>-43111.11111111111</v>
      </c>
      <c r="H35" s="49"/>
      <c r="I35" s="49"/>
      <c r="J35" s="50"/>
      <c r="K35" s="49"/>
      <c r="L35" s="50"/>
    </row>
    <row r="36" spans="1:12" ht="12.75">
      <c r="A36" s="49"/>
      <c r="B36" s="58" t="s">
        <v>120</v>
      </c>
      <c r="C36" s="49"/>
      <c r="D36" s="49"/>
      <c r="E36" s="50">
        <f t="shared" si="2"/>
        <v>-175000</v>
      </c>
      <c r="F36" s="50">
        <f t="shared" si="3"/>
        <v>-295000</v>
      </c>
      <c r="G36" s="69">
        <f>E36*3/9</f>
        <v>-58333.333333333336</v>
      </c>
      <c r="H36" s="49"/>
      <c r="I36" s="49"/>
      <c r="J36" s="50"/>
      <c r="K36" s="49"/>
      <c r="L36" s="50"/>
    </row>
    <row r="37" spans="1:12" ht="12.75">
      <c r="A37" s="49"/>
      <c r="B37" s="58" t="s">
        <v>121</v>
      </c>
      <c r="C37" s="49"/>
      <c r="D37" s="49"/>
      <c r="E37" s="50">
        <f t="shared" si="2"/>
        <v>-128000</v>
      </c>
      <c r="F37" s="50">
        <f t="shared" si="3"/>
        <v>-423000</v>
      </c>
      <c r="G37" s="69">
        <f>E37*2/9</f>
        <v>-28444.444444444445</v>
      </c>
      <c r="H37" s="49"/>
      <c r="I37" s="49"/>
      <c r="J37" s="50"/>
      <c r="K37" s="49"/>
      <c r="L37" s="50"/>
    </row>
    <row r="38" spans="1:12" ht="12.75">
      <c r="A38" s="49"/>
      <c r="B38" s="58" t="s">
        <v>122</v>
      </c>
      <c r="C38" s="49"/>
      <c r="D38" s="49"/>
      <c r="E38" s="50">
        <f t="shared" si="2"/>
        <v>-256000</v>
      </c>
      <c r="F38" s="50">
        <f t="shared" si="3"/>
        <v>-679000</v>
      </c>
      <c r="G38" s="69">
        <f>E38*1/9</f>
        <v>-28444.444444444445</v>
      </c>
      <c r="H38" s="49"/>
      <c r="I38" s="49"/>
      <c r="J38" s="50"/>
      <c r="K38" s="49"/>
      <c r="L38" s="50"/>
    </row>
    <row r="39" spans="1:12" ht="12.75">
      <c r="A39" s="49"/>
      <c r="B39" s="58" t="s">
        <v>123</v>
      </c>
      <c r="C39" s="50"/>
      <c r="D39" s="50"/>
      <c r="E39" s="50">
        <f t="shared" si="2"/>
        <v>0</v>
      </c>
      <c r="F39" s="50">
        <f t="shared" si="3"/>
        <v>-679000</v>
      </c>
      <c r="G39" s="69">
        <f>E39*2/12</f>
        <v>0</v>
      </c>
      <c r="H39" s="49"/>
      <c r="I39" s="49"/>
      <c r="J39" s="50"/>
      <c r="K39" s="49"/>
      <c r="L39" s="50"/>
    </row>
    <row r="40" spans="1:12" ht="12.75">
      <c r="A40" s="49"/>
      <c r="B40" s="58" t="s">
        <v>124</v>
      </c>
      <c r="C40" s="50"/>
      <c r="D40" s="50"/>
      <c r="E40" s="50">
        <f t="shared" si="2"/>
        <v>0</v>
      </c>
      <c r="F40" s="50">
        <f t="shared" si="3"/>
        <v>-679000</v>
      </c>
      <c r="G40" s="69">
        <f>E40*1/12</f>
        <v>0</v>
      </c>
      <c r="H40" s="49"/>
      <c r="I40" s="49"/>
      <c r="J40" s="50"/>
      <c r="K40" s="49"/>
      <c r="L40" s="50"/>
    </row>
    <row r="41" spans="1:12" ht="12.75">
      <c r="A41" s="49"/>
      <c r="B41" s="58" t="s">
        <v>113</v>
      </c>
      <c r="C41" s="50"/>
      <c r="D41" s="50"/>
      <c r="E41" s="50">
        <f t="shared" si="2"/>
        <v>0</v>
      </c>
      <c r="F41" s="50">
        <f t="shared" si="3"/>
        <v>-679000</v>
      </c>
      <c r="G41" s="69">
        <f>E41*0/12</f>
        <v>0</v>
      </c>
      <c r="H41" s="49"/>
      <c r="I41" s="49"/>
      <c r="J41" s="50"/>
      <c r="K41" s="49"/>
      <c r="L41" s="50"/>
    </row>
    <row r="42" spans="1:12" ht="13.5" thickBot="1">
      <c r="A42" s="49"/>
      <c r="B42" s="49"/>
      <c r="C42" s="49"/>
      <c r="D42" s="49"/>
      <c r="E42" s="64">
        <f>SUM(E29:E41)</f>
        <v>1567000</v>
      </c>
      <c r="F42" s="50"/>
      <c r="G42" s="70">
        <f>SUM(G29:G41)</f>
        <v>2073555.5555555555</v>
      </c>
      <c r="H42" s="49"/>
      <c r="I42" s="49" t="s">
        <v>125</v>
      </c>
      <c r="J42" s="50"/>
      <c r="K42" s="49"/>
      <c r="L42" s="50"/>
    </row>
    <row r="43" spans="1:12" ht="13.5" thickTop="1">
      <c r="A43" s="49"/>
      <c r="B43" s="49"/>
      <c r="C43" s="49"/>
      <c r="D43" s="49"/>
      <c r="E43" s="50"/>
      <c r="F43" s="50"/>
      <c r="G43" s="69"/>
      <c r="H43" s="49"/>
      <c r="I43" s="49"/>
      <c r="J43" s="50"/>
      <c r="K43" s="61"/>
      <c r="L43" s="50"/>
    </row>
    <row r="44" spans="1:12" ht="12.75">
      <c r="A44" s="49"/>
      <c r="B44" s="54" t="s">
        <v>126</v>
      </c>
      <c r="C44" s="49"/>
      <c r="D44" s="49"/>
      <c r="E44" s="49"/>
      <c r="F44" s="49"/>
      <c r="G44" s="71">
        <v>1.2</v>
      </c>
      <c r="H44" s="49"/>
      <c r="I44" s="49" t="s">
        <v>127</v>
      </c>
      <c r="J44" s="50"/>
      <c r="K44" s="50"/>
      <c r="L44" s="50"/>
    </row>
    <row r="45" spans="1:12" ht="12.75">
      <c r="A45" s="49"/>
      <c r="B45" s="49"/>
      <c r="C45" s="49"/>
      <c r="D45" s="49"/>
      <c r="E45" s="49"/>
      <c r="F45" s="49"/>
      <c r="G45" s="67"/>
      <c r="H45" s="49"/>
      <c r="I45" s="49"/>
      <c r="J45" s="50"/>
      <c r="K45" s="61"/>
      <c r="L45" s="50"/>
    </row>
    <row r="46" spans="1:12" ht="12.75">
      <c r="A46" s="49"/>
      <c r="B46" s="54" t="s">
        <v>128</v>
      </c>
      <c r="C46" s="49"/>
      <c r="D46" s="49"/>
      <c r="E46" s="49"/>
      <c r="F46" s="49"/>
      <c r="G46" s="72">
        <f>(G42*G44)/G25</f>
        <v>1367179.487179487</v>
      </c>
      <c r="H46" s="49"/>
      <c r="I46" s="49" t="s">
        <v>129</v>
      </c>
      <c r="J46" s="50"/>
      <c r="K46" s="50"/>
      <c r="L46" s="49"/>
    </row>
    <row r="47" spans="1:12" ht="12.75">
      <c r="A47" s="49"/>
      <c r="B47" s="49"/>
      <c r="C47" s="49"/>
      <c r="D47" s="49"/>
      <c r="E47" s="49"/>
      <c r="F47" s="49"/>
      <c r="G47" s="72">
        <f>G42-G46</f>
        <v>706376.0683760685</v>
      </c>
      <c r="H47" s="49"/>
      <c r="I47" s="49" t="s">
        <v>130</v>
      </c>
      <c r="J47" s="50"/>
      <c r="K47" s="50"/>
      <c r="L47" s="49"/>
    </row>
    <row r="48" spans="1:12" ht="13.5">
      <c r="A48" s="49"/>
      <c r="B48" s="53" t="s">
        <v>131</v>
      </c>
      <c r="C48" s="49"/>
      <c r="D48" s="49"/>
      <c r="E48" s="49"/>
      <c r="F48" s="49"/>
      <c r="G48" s="72">
        <f>G23+G47</f>
        <v>42546820.51282052</v>
      </c>
      <c r="H48" s="49"/>
      <c r="I48" s="49" t="s">
        <v>132</v>
      </c>
      <c r="J48" s="50"/>
      <c r="K48" s="50"/>
      <c r="L48" s="49"/>
    </row>
    <row r="49" spans="1:12" ht="15">
      <c r="A49" s="49"/>
      <c r="B49" s="49"/>
      <c r="C49" s="49"/>
      <c r="D49" s="49"/>
      <c r="E49" s="49"/>
      <c r="F49" s="49"/>
      <c r="G49" s="49"/>
      <c r="H49" s="49"/>
      <c r="I49" s="49"/>
      <c r="J49" s="73"/>
      <c r="K49" s="50"/>
      <c r="L49" s="49"/>
    </row>
    <row r="50" spans="1:12" ht="12.75">
      <c r="A50" s="49"/>
      <c r="B50" s="49" t="s">
        <v>139</v>
      </c>
      <c r="C50" s="49"/>
      <c r="D50" s="49"/>
      <c r="E50" s="49"/>
      <c r="F50" s="49"/>
      <c r="G50" s="49"/>
      <c r="H50" s="49"/>
      <c r="I50" s="49" t="s">
        <v>133</v>
      </c>
      <c r="J50" s="74">
        <f>(G6/G23)*100</f>
        <v>8.931549484284211</v>
      </c>
      <c r="K50" s="50"/>
      <c r="L50" s="49"/>
    </row>
    <row r="51" spans="1:1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50"/>
      <c r="L51" s="49"/>
    </row>
    <row r="52" spans="1:12" ht="12.75">
      <c r="A52" s="49"/>
      <c r="B52" s="49" t="s">
        <v>140</v>
      </c>
      <c r="C52" s="49"/>
      <c r="D52" s="49"/>
      <c r="E52" s="49"/>
      <c r="F52" s="49"/>
      <c r="G52" s="49"/>
      <c r="H52" s="49"/>
      <c r="I52" s="49" t="s">
        <v>134</v>
      </c>
      <c r="J52" s="74">
        <f>(G6/(G23+G42-G46))*100</f>
        <v>8.783265012420706</v>
      </c>
      <c r="K52" s="50"/>
      <c r="L52" s="49"/>
    </row>
    <row r="53" spans="1:12" ht="12.75">
      <c r="A53" s="49"/>
      <c r="B53" s="49"/>
      <c r="C53" s="49"/>
      <c r="D53" s="49"/>
      <c r="E53" s="49"/>
      <c r="F53" s="49"/>
      <c r="G53" s="49"/>
      <c r="H53" s="49"/>
      <c r="I53" s="49"/>
      <c r="J53" s="50"/>
      <c r="K53" s="50"/>
      <c r="L53" s="49"/>
    </row>
    <row r="54" spans="1:12" ht="12.75">
      <c r="A54" s="49"/>
      <c r="B54" s="49" t="s">
        <v>135</v>
      </c>
      <c r="C54" s="49"/>
      <c r="D54" s="49"/>
      <c r="E54" s="49"/>
      <c r="F54" s="49"/>
      <c r="G54" s="49"/>
      <c r="H54" s="49"/>
      <c r="I54" s="49"/>
      <c r="J54" s="50"/>
      <c r="K54" s="50"/>
      <c r="L54" s="49"/>
    </row>
    <row r="55" spans="1:12" ht="12.75">
      <c r="A55" s="49"/>
      <c r="B55" s="49"/>
      <c r="C55" s="49"/>
      <c r="D55" s="49"/>
      <c r="E55" s="49"/>
      <c r="F55" s="49"/>
      <c r="G55" s="49"/>
      <c r="H55" s="49"/>
      <c r="I55" s="49"/>
      <c r="J55" s="50"/>
      <c r="K55" s="50"/>
      <c r="L55" s="49"/>
    </row>
    <row r="56" spans="1:12" ht="12.75">
      <c r="A56" s="49"/>
      <c r="J56" s="50"/>
      <c r="K56" s="50"/>
      <c r="L56" s="49"/>
    </row>
    <row r="57" spans="1:12" ht="12.75">
      <c r="A57" s="49"/>
      <c r="J57" s="50"/>
      <c r="K57" s="50"/>
      <c r="L57" s="49"/>
    </row>
    <row r="58" spans="1:12" ht="12.75">
      <c r="A58" s="49"/>
      <c r="J58" s="50"/>
      <c r="K58" s="50"/>
      <c r="L58" s="49"/>
    </row>
    <row r="59" spans="1:12" ht="12.75">
      <c r="A59" s="49"/>
      <c r="J59" s="50"/>
      <c r="K59" s="50"/>
      <c r="L59" s="49"/>
    </row>
    <row r="60" spans="1:12" ht="12.75">
      <c r="A60" s="49"/>
      <c r="J60" s="50"/>
      <c r="K60" s="50"/>
      <c r="L60" s="49"/>
    </row>
    <row r="61" spans="1:12" ht="12.75">
      <c r="A61" s="49"/>
      <c r="J61" s="50"/>
      <c r="K61" s="50"/>
      <c r="L61" s="49"/>
    </row>
    <row r="62" spans="1:12" ht="12.75">
      <c r="A62" s="49"/>
      <c r="J62" s="50"/>
      <c r="K62" s="50"/>
      <c r="L62" s="49"/>
    </row>
    <row r="63" spans="1:12" ht="12.75">
      <c r="A63" s="49"/>
      <c r="J63" s="50"/>
      <c r="K63" s="50"/>
      <c r="L63" s="49"/>
    </row>
    <row r="64" spans="1:12" ht="12.75">
      <c r="A64" s="49"/>
      <c r="J64" s="50"/>
      <c r="K64" s="50"/>
      <c r="L64" s="49"/>
    </row>
    <row r="65" spans="1:12" ht="12.75">
      <c r="A65" s="49"/>
      <c r="J65" s="50"/>
      <c r="K65" s="50"/>
      <c r="L65" s="49"/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G36" sqref="G36"/>
    </sheetView>
  </sheetViews>
  <sheetFormatPr defaultColWidth="9.140625" defaultRowHeight="12.75"/>
  <cols>
    <col min="6" max="6" width="15.7109375" style="0" customWidth="1"/>
    <col min="7" max="7" width="10.421875" style="0" customWidth="1"/>
  </cols>
  <sheetData>
    <row r="1" spans="1:10" ht="12.75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.75">
      <c r="A2" s="51" t="s">
        <v>105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2.75">
      <c r="A3" s="51"/>
      <c r="B3" s="49"/>
      <c r="C3" s="49"/>
      <c r="D3" s="49"/>
      <c r="E3" s="49"/>
      <c r="F3" s="49"/>
      <c r="G3" s="49"/>
      <c r="H3" s="49"/>
      <c r="I3" s="49"/>
      <c r="J3" s="50"/>
    </row>
    <row r="4" spans="1:10" ht="13.5">
      <c r="A4" s="52"/>
      <c r="B4" s="53" t="s">
        <v>89</v>
      </c>
      <c r="C4" s="49"/>
      <c r="D4" s="49"/>
      <c r="E4" s="49"/>
      <c r="F4" s="49"/>
      <c r="G4" s="49"/>
      <c r="H4" s="49"/>
      <c r="I4" s="53" t="s">
        <v>90</v>
      </c>
      <c r="J4" s="50"/>
    </row>
    <row r="5" spans="1:10" ht="12.75">
      <c r="A5" s="51"/>
      <c r="B5" s="49"/>
      <c r="C5" s="49"/>
      <c r="D5" s="49"/>
      <c r="E5" s="49"/>
      <c r="F5" s="49"/>
      <c r="G5" s="49"/>
      <c r="H5" s="49"/>
      <c r="I5" s="49"/>
      <c r="J5" s="50"/>
    </row>
    <row r="6" spans="1:10" ht="12.75">
      <c r="A6" s="49"/>
      <c r="B6" s="54" t="s">
        <v>141</v>
      </c>
      <c r="C6" s="49"/>
      <c r="D6" s="49"/>
      <c r="E6" s="49"/>
      <c r="F6" s="49"/>
      <c r="G6" s="50">
        <v>1176000</v>
      </c>
      <c r="H6" s="49"/>
      <c r="I6" s="49" t="s">
        <v>91</v>
      </c>
      <c r="J6" s="50"/>
    </row>
    <row r="7" spans="1:10" ht="12.75">
      <c r="A7" s="51"/>
      <c r="B7" s="49"/>
      <c r="C7" s="49"/>
      <c r="D7" s="49"/>
      <c r="E7" s="49"/>
      <c r="F7" s="49"/>
      <c r="G7" s="49"/>
      <c r="H7" s="49"/>
      <c r="I7" s="55"/>
      <c r="J7" s="50"/>
    </row>
    <row r="8" spans="1:10" ht="12.75">
      <c r="A8" s="49"/>
      <c r="B8" s="54" t="s">
        <v>92</v>
      </c>
      <c r="C8" s="49"/>
      <c r="D8" s="49"/>
      <c r="E8" s="49"/>
      <c r="F8" s="49"/>
      <c r="G8" s="49"/>
      <c r="H8" s="49"/>
      <c r="I8" s="49">
        <f>D7+G7+G8</f>
        <v>0</v>
      </c>
      <c r="J8" s="50"/>
    </row>
    <row r="9" spans="1:10" ht="12.75">
      <c r="A9" s="49"/>
      <c r="B9" s="54"/>
      <c r="C9" s="49"/>
      <c r="D9" s="49"/>
      <c r="E9" s="56" t="s">
        <v>93</v>
      </c>
      <c r="F9" s="56" t="s">
        <v>94</v>
      </c>
      <c r="G9" s="57" t="s">
        <v>95</v>
      </c>
      <c r="H9" s="49"/>
      <c r="I9" s="49"/>
      <c r="J9" s="50"/>
    </row>
    <row r="10" spans="1:10" ht="12.75">
      <c r="A10" s="50"/>
      <c r="B10" s="58" t="s">
        <v>96</v>
      </c>
      <c r="C10" s="50"/>
      <c r="D10" s="50"/>
      <c r="E10" s="59">
        <v>0</v>
      </c>
      <c r="F10" s="59">
        <v>41788000</v>
      </c>
      <c r="G10" s="60">
        <v>0</v>
      </c>
      <c r="H10" s="50"/>
      <c r="I10" s="50"/>
      <c r="J10" s="50"/>
    </row>
    <row r="11" spans="1:10" ht="12.75">
      <c r="A11" s="50"/>
      <c r="B11" s="58" t="s">
        <v>97</v>
      </c>
      <c r="C11" s="50"/>
      <c r="D11" s="50"/>
      <c r="E11" s="59">
        <f>F11-F10</f>
        <v>0</v>
      </c>
      <c r="F11" s="59">
        <v>41788000</v>
      </c>
      <c r="G11" s="60">
        <v>0</v>
      </c>
      <c r="H11" s="50"/>
      <c r="I11" s="50"/>
      <c r="J11" s="50"/>
    </row>
    <row r="12" spans="1:10" ht="12.75">
      <c r="A12" s="50"/>
      <c r="B12" s="58" t="s">
        <v>98</v>
      </c>
      <c r="C12" s="50"/>
      <c r="D12" s="50"/>
      <c r="E12" s="59">
        <f aca="true" t="shared" si="0" ref="E12:E22">F12-F11</f>
        <v>0</v>
      </c>
      <c r="F12" s="59">
        <v>41788000</v>
      </c>
      <c r="G12" s="60">
        <v>0</v>
      </c>
      <c r="H12" s="50"/>
      <c r="I12" s="50"/>
      <c r="J12" s="50"/>
    </row>
    <row r="13" spans="1:10" ht="12.75">
      <c r="A13" s="50"/>
      <c r="B13" s="58" t="s">
        <v>99</v>
      </c>
      <c r="C13" s="50"/>
      <c r="D13" s="50"/>
      <c r="E13" s="59">
        <f t="shared" si="0"/>
        <v>0</v>
      </c>
      <c r="F13" s="59">
        <v>41788000</v>
      </c>
      <c r="G13" s="60">
        <v>0</v>
      </c>
      <c r="H13" s="50"/>
      <c r="I13" s="50"/>
      <c r="J13" s="50"/>
    </row>
    <row r="14" spans="1:10" ht="12.75">
      <c r="A14" s="50"/>
      <c r="B14" s="58" t="s">
        <v>100</v>
      </c>
      <c r="C14" s="50"/>
      <c r="D14" s="50"/>
      <c r="E14" s="59">
        <f t="shared" si="0"/>
        <v>0</v>
      </c>
      <c r="F14" s="59">
        <v>41788000</v>
      </c>
      <c r="G14" s="60">
        <v>0</v>
      </c>
      <c r="H14" s="50"/>
      <c r="I14" s="50"/>
      <c r="J14" s="50"/>
    </row>
    <row r="15" spans="1:10" ht="12.75">
      <c r="A15" s="50"/>
      <c r="B15" s="58" t="s">
        <v>101</v>
      </c>
      <c r="C15" s="50"/>
      <c r="D15" s="50"/>
      <c r="E15" s="59">
        <f t="shared" si="0"/>
        <v>0</v>
      </c>
      <c r="F15" s="59">
        <v>41788000</v>
      </c>
      <c r="G15" s="60">
        <v>0</v>
      </c>
      <c r="H15" s="50"/>
      <c r="I15" s="50"/>
      <c r="J15" s="50"/>
    </row>
    <row r="16" spans="1:10" ht="12.75">
      <c r="A16" s="50"/>
      <c r="B16" s="58" t="s">
        <v>102</v>
      </c>
      <c r="C16" s="50"/>
      <c r="D16" s="50"/>
      <c r="E16" s="59">
        <f t="shared" si="0"/>
        <v>0</v>
      </c>
      <c r="F16" s="59">
        <v>41788000</v>
      </c>
      <c r="G16" s="60">
        <v>0</v>
      </c>
      <c r="H16" s="50"/>
      <c r="I16" s="50"/>
      <c r="J16" s="50"/>
    </row>
    <row r="17" spans="1:10" ht="12.75">
      <c r="A17" s="50"/>
      <c r="B17" s="58" t="s">
        <v>103</v>
      </c>
      <c r="C17" s="50"/>
      <c r="D17" s="50"/>
      <c r="E17" s="59">
        <f t="shared" si="0"/>
        <v>114000</v>
      </c>
      <c r="F17" s="59">
        <v>41902000</v>
      </c>
      <c r="G17" s="60">
        <f>F17/3</f>
        <v>13967333.333333334</v>
      </c>
      <c r="H17" s="50"/>
      <c r="I17" s="50"/>
      <c r="J17" s="50"/>
    </row>
    <row r="18" spans="1:10" ht="12.75">
      <c r="A18" s="50"/>
      <c r="B18" s="58" t="s">
        <v>104</v>
      </c>
      <c r="C18" s="50"/>
      <c r="D18" s="50"/>
      <c r="E18" s="59">
        <f t="shared" si="0"/>
        <v>189000</v>
      </c>
      <c r="F18" s="59">
        <v>42091000</v>
      </c>
      <c r="G18" s="60">
        <f>F18/3</f>
        <v>14030333.333333334</v>
      </c>
      <c r="H18" s="50"/>
      <c r="I18" s="50"/>
      <c r="J18" s="50"/>
    </row>
    <row r="19" spans="1:10" ht="12.75">
      <c r="A19" s="50"/>
      <c r="B19" s="58" t="s">
        <v>105</v>
      </c>
      <c r="C19" s="50"/>
      <c r="D19" s="50"/>
      <c r="E19" s="59">
        <f t="shared" si="0"/>
        <v>256000</v>
      </c>
      <c r="F19" s="59">
        <v>42347000</v>
      </c>
      <c r="G19" s="60">
        <f>F19/3</f>
        <v>14115666.666666666</v>
      </c>
      <c r="H19" s="50"/>
      <c r="I19" s="50"/>
      <c r="J19" s="50"/>
    </row>
    <row r="20" spans="1:10" ht="12.75">
      <c r="A20" s="50"/>
      <c r="B20" s="58" t="s">
        <v>106</v>
      </c>
      <c r="C20" s="50"/>
      <c r="D20" s="50"/>
      <c r="E20" s="59">
        <f t="shared" si="0"/>
        <v>0</v>
      </c>
      <c r="F20" s="59">
        <v>42347000</v>
      </c>
      <c r="G20" s="60">
        <f>F20/12*0</f>
        <v>0</v>
      </c>
      <c r="H20" s="50"/>
      <c r="I20" s="50"/>
      <c r="J20" s="50"/>
    </row>
    <row r="21" spans="1:10" ht="12.75">
      <c r="A21" s="50"/>
      <c r="B21" s="58" t="s">
        <v>107</v>
      </c>
      <c r="C21" s="50"/>
      <c r="D21" s="50"/>
      <c r="E21" s="59">
        <f t="shared" si="0"/>
        <v>0</v>
      </c>
      <c r="F21" s="59">
        <v>42347000</v>
      </c>
      <c r="G21" s="60">
        <f>F21/12*0</f>
        <v>0</v>
      </c>
      <c r="H21" s="50"/>
      <c r="I21" s="50"/>
      <c r="J21" s="50"/>
    </row>
    <row r="22" spans="1:10" ht="12.75">
      <c r="A22" s="50"/>
      <c r="B22" s="58" t="s">
        <v>108</v>
      </c>
      <c r="C22" s="50"/>
      <c r="D22" s="50"/>
      <c r="E22" s="59">
        <f t="shared" si="0"/>
        <v>0</v>
      </c>
      <c r="F22" s="59">
        <v>42347000</v>
      </c>
      <c r="G22" s="60">
        <f>F22/12*0</f>
        <v>0</v>
      </c>
      <c r="H22" s="50"/>
      <c r="I22" s="50"/>
      <c r="J22" s="61"/>
    </row>
    <row r="23" spans="1:10" ht="13.5" thickBot="1">
      <c r="A23" s="49"/>
      <c r="B23" s="49"/>
      <c r="C23" s="49"/>
      <c r="D23" s="49"/>
      <c r="E23" s="62">
        <f>SUM(E10:E22)</f>
        <v>559000</v>
      </c>
      <c r="F23" s="63"/>
      <c r="G23" s="64">
        <f>SUM(G10:G22)</f>
        <v>42113333.333333336</v>
      </c>
      <c r="H23" s="49"/>
      <c r="I23" s="49" t="s">
        <v>109</v>
      </c>
      <c r="J23" s="50"/>
    </row>
    <row r="24" spans="1:10" ht="13.5" thickTop="1">
      <c r="A24" s="49"/>
      <c r="B24" s="49"/>
      <c r="C24" s="49"/>
      <c r="D24" s="49"/>
      <c r="E24" s="49"/>
      <c r="F24" s="50"/>
      <c r="G24" s="49"/>
      <c r="H24" s="49"/>
      <c r="I24" s="49"/>
      <c r="J24" s="50"/>
    </row>
    <row r="25" spans="1:10" ht="12.75">
      <c r="A25" s="49"/>
      <c r="B25" s="54" t="s">
        <v>110</v>
      </c>
      <c r="C25" s="49"/>
      <c r="D25" s="49"/>
      <c r="E25" s="49"/>
      <c r="F25" s="63"/>
      <c r="G25" s="66">
        <v>1.82</v>
      </c>
      <c r="H25" s="49"/>
      <c r="I25" s="49" t="s">
        <v>142</v>
      </c>
      <c r="J25" s="50"/>
    </row>
    <row r="26" spans="1:10" ht="12.75">
      <c r="A26" s="49"/>
      <c r="B26" s="49"/>
      <c r="C26" s="49"/>
      <c r="D26" s="49"/>
      <c r="E26" s="49"/>
      <c r="F26" s="49"/>
      <c r="G26" s="67"/>
      <c r="H26" s="49"/>
      <c r="I26" s="49"/>
      <c r="J26" s="50"/>
    </row>
    <row r="27" spans="1:10" ht="12.75">
      <c r="A27" s="49"/>
      <c r="B27" s="54" t="s">
        <v>111</v>
      </c>
      <c r="C27" s="49"/>
      <c r="D27" s="49"/>
      <c r="E27" s="49"/>
      <c r="F27" s="49"/>
      <c r="G27" s="67"/>
      <c r="H27" s="49"/>
      <c r="I27" s="49"/>
      <c r="J27" s="50"/>
    </row>
    <row r="28" spans="1:10" ht="12.75">
      <c r="A28" s="49"/>
      <c r="B28" s="49"/>
      <c r="C28" s="49"/>
      <c r="D28" s="49"/>
      <c r="E28" s="56" t="s">
        <v>93</v>
      </c>
      <c r="F28" s="56" t="s">
        <v>112</v>
      </c>
      <c r="G28" s="68" t="s">
        <v>95</v>
      </c>
      <c r="H28" s="49"/>
      <c r="I28" s="49"/>
      <c r="J28" s="50"/>
    </row>
    <row r="29" spans="1:10" ht="12.75">
      <c r="A29" s="49"/>
      <c r="B29" s="58" t="s">
        <v>96</v>
      </c>
      <c r="C29" s="49"/>
      <c r="D29" s="49"/>
      <c r="E29" s="50">
        <v>0</v>
      </c>
      <c r="F29" s="50">
        <v>0</v>
      </c>
      <c r="G29" s="69">
        <f>E29*12/12</f>
        <v>0</v>
      </c>
      <c r="H29" s="49"/>
      <c r="I29" s="49"/>
      <c r="J29" s="50"/>
    </row>
    <row r="30" spans="1:10" ht="12.75">
      <c r="A30" s="49"/>
      <c r="B30" s="58" t="s">
        <v>97</v>
      </c>
      <c r="C30" s="49"/>
      <c r="D30" s="49"/>
      <c r="E30" s="50">
        <f>-E11</f>
        <v>0</v>
      </c>
      <c r="F30" s="50">
        <f>E30+F29</f>
        <v>0</v>
      </c>
      <c r="G30" s="69">
        <f>E30*5/6</f>
        <v>0</v>
      </c>
      <c r="H30" s="49"/>
      <c r="I30" s="49"/>
      <c r="J30" s="50"/>
    </row>
    <row r="31" spans="1:10" ht="12.75">
      <c r="A31" s="49"/>
      <c r="B31" s="58" t="s">
        <v>98</v>
      </c>
      <c r="C31" s="49"/>
      <c r="D31" s="49"/>
      <c r="E31" s="50">
        <f aca="true" t="shared" si="1" ref="E31:E41">-E12</f>
        <v>0</v>
      </c>
      <c r="F31" s="50">
        <f aca="true" t="shared" si="2" ref="F31:F41">E31+F30</f>
        <v>0</v>
      </c>
      <c r="G31" s="69">
        <f>E31*4/6</f>
        <v>0</v>
      </c>
      <c r="H31" s="49"/>
      <c r="I31" s="49"/>
      <c r="J31" s="50"/>
    </row>
    <row r="32" spans="1:10" ht="12.75">
      <c r="A32" s="49"/>
      <c r="B32" s="58" t="s">
        <v>99</v>
      </c>
      <c r="C32" s="49"/>
      <c r="D32" s="49"/>
      <c r="E32" s="50">
        <f t="shared" si="1"/>
        <v>0</v>
      </c>
      <c r="F32" s="50">
        <f t="shared" si="2"/>
        <v>0</v>
      </c>
      <c r="G32" s="69">
        <f>E32*3/3</f>
        <v>0</v>
      </c>
      <c r="H32" s="49"/>
      <c r="I32" s="49"/>
      <c r="J32" s="50"/>
    </row>
    <row r="33" spans="1:10" ht="12.75">
      <c r="A33" s="49"/>
      <c r="B33" s="58" t="s">
        <v>100</v>
      </c>
      <c r="C33" s="49"/>
      <c r="D33" s="49"/>
      <c r="E33" s="50">
        <f t="shared" si="1"/>
        <v>0</v>
      </c>
      <c r="F33" s="50">
        <f t="shared" si="2"/>
        <v>0</v>
      </c>
      <c r="G33" s="69">
        <f>E33*2/3</f>
        <v>0</v>
      </c>
      <c r="H33" s="49"/>
      <c r="I33" s="49"/>
      <c r="J33" s="50"/>
    </row>
    <row r="34" spans="1:10" ht="12.75">
      <c r="A34" s="49"/>
      <c r="B34" s="58" t="s">
        <v>101</v>
      </c>
      <c r="C34" s="49"/>
      <c r="D34" s="49"/>
      <c r="E34" s="50">
        <f t="shared" si="1"/>
        <v>0</v>
      </c>
      <c r="F34" s="50">
        <f t="shared" si="2"/>
        <v>0</v>
      </c>
      <c r="G34" s="69">
        <f>E34*1/3</f>
        <v>0</v>
      </c>
      <c r="H34" s="49"/>
      <c r="I34" s="49"/>
      <c r="J34" s="50"/>
    </row>
    <row r="35" spans="1:10" ht="12.75">
      <c r="A35" s="49"/>
      <c r="B35" s="58" t="s">
        <v>102</v>
      </c>
      <c r="C35" s="49"/>
      <c r="D35" s="49"/>
      <c r="E35" s="50">
        <v>2126000</v>
      </c>
      <c r="F35" s="50">
        <f t="shared" si="2"/>
        <v>2126000</v>
      </c>
      <c r="G35" s="69">
        <f>E35</f>
        <v>2126000</v>
      </c>
      <c r="H35" s="49"/>
      <c r="I35" s="49"/>
      <c r="J35" s="50"/>
    </row>
    <row r="36" spans="1:10" ht="12.75">
      <c r="A36" s="49"/>
      <c r="B36" s="58" t="s">
        <v>103</v>
      </c>
      <c r="C36" s="49"/>
      <c r="D36" s="49"/>
      <c r="E36" s="50">
        <f t="shared" si="1"/>
        <v>-114000</v>
      </c>
      <c r="F36" s="50">
        <f t="shared" si="2"/>
        <v>2012000</v>
      </c>
      <c r="G36" s="69">
        <f>E36*3/3</f>
        <v>-114000</v>
      </c>
      <c r="H36" s="49"/>
      <c r="I36" s="49"/>
      <c r="J36" s="50"/>
    </row>
    <row r="37" spans="1:10" ht="12.75">
      <c r="A37" s="49"/>
      <c r="B37" s="58" t="s">
        <v>104</v>
      </c>
      <c r="C37" s="49"/>
      <c r="D37" s="49"/>
      <c r="E37" s="50">
        <f t="shared" si="1"/>
        <v>-189000</v>
      </c>
      <c r="F37" s="50">
        <f t="shared" si="2"/>
        <v>1823000</v>
      </c>
      <c r="G37" s="69">
        <f>E37*2/3</f>
        <v>-126000</v>
      </c>
      <c r="H37" s="49"/>
      <c r="I37" s="49"/>
      <c r="J37" s="50"/>
    </row>
    <row r="38" spans="1:10" ht="12.75">
      <c r="A38" s="49"/>
      <c r="B38" s="58" t="s">
        <v>105</v>
      </c>
      <c r="C38" s="49"/>
      <c r="D38" s="49"/>
      <c r="E38" s="50">
        <f t="shared" si="1"/>
        <v>-256000</v>
      </c>
      <c r="F38" s="50">
        <f t="shared" si="2"/>
        <v>1567000</v>
      </c>
      <c r="G38" s="69">
        <f>E38*1/3</f>
        <v>-85333.33333333333</v>
      </c>
      <c r="H38" s="49"/>
      <c r="I38" s="49"/>
      <c r="J38" s="50"/>
    </row>
    <row r="39" spans="1:10" ht="12.75">
      <c r="A39" s="49"/>
      <c r="B39" s="58" t="s">
        <v>106</v>
      </c>
      <c r="C39" s="50"/>
      <c r="D39" s="50"/>
      <c r="E39" s="50">
        <f t="shared" si="1"/>
        <v>0</v>
      </c>
      <c r="F39" s="50">
        <f t="shared" si="2"/>
        <v>1567000</v>
      </c>
      <c r="G39" s="69">
        <f>E39*2/12</f>
        <v>0</v>
      </c>
      <c r="H39" s="49"/>
      <c r="I39" s="49"/>
      <c r="J39" s="50"/>
    </row>
    <row r="40" spans="1:10" ht="12.75">
      <c r="A40" s="49"/>
      <c r="B40" s="58" t="s">
        <v>107</v>
      </c>
      <c r="C40" s="50"/>
      <c r="D40" s="50"/>
      <c r="E40" s="50">
        <f t="shared" si="1"/>
        <v>0</v>
      </c>
      <c r="F40" s="50">
        <f t="shared" si="2"/>
        <v>1567000</v>
      </c>
      <c r="G40" s="69">
        <f>E40*1/12</f>
        <v>0</v>
      </c>
      <c r="H40" s="49"/>
      <c r="I40" s="49"/>
      <c r="J40" s="50"/>
    </row>
    <row r="41" spans="1:10" ht="12.75">
      <c r="A41" s="49"/>
      <c r="B41" s="58" t="s">
        <v>108</v>
      </c>
      <c r="C41" s="50"/>
      <c r="D41" s="50"/>
      <c r="E41" s="50">
        <f t="shared" si="1"/>
        <v>0</v>
      </c>
      <c r="F41" s="50">
        <f t="shared" si="2"/>
        <v>1567000</v>
      </c>
      <c r="G41" s="69">
        <f>E41*0/12</f>
        <v>0</v>
      </c>
      <c r="H41" s="49"/>
      <c r="I41" s="49"/>
      <c r="J41" s="50"/>
    </row>
    <row r="42" spans="1:10" ht="13.5" thickBot="1">
      <c r="A42" s="49"/>
      <c r="B42" s="49"/>
      <c r="C42" s="49"/>
      <c r="D42" s="49"/>
      <c r="E42" s="64">
        <f>SUM(E29:E41)</f>
        <v>1567000</v>
      </c>
      <c r="F42" s="50"/>
      <c r="G42" s="70">
        <f>SUM(G29:G41)</f>
        <v>1800666.6666666667</v>
      </c>
      <c r="H42" s="49"/>
      <c r="I42" s="49" t="s">
        <v>125</v>
      </c>
      <c r="J42" s="50"/>
    </row>
    <row r="43" spans="1:10" ht="13.5" thickTop="1">
      <c r="A43" s="49"/>
      <c r="B43" s="49"/>
      <c r="C43" s="49"/>
      <c r="D43" s="49"/>
      <c r="E43" s="50"/>
      <c r="F43" s="50"/>
      <c r="G43" s="69"/>
      <c r="H43" s="49"/>
      <c r="I43" s="49"/>
      <c r="J43" s="50"/>
    </row>
    <row r="44" spans="1:10" ht="12.75">
      <c r="A44" s="49"/>
      <c r="B44" s="54" t="s">
        <v>126</v>
      </c>
      <c r="C44" s="49"/>
      <c r="D44" s="49"/>
      <c r="E44" s="49"/>
      <c r="F44" s="49"/>
      <c r="G44" s="71">
        <v>1.2</v>
      </c>
      <c r="H44" s="49"/>
      <c r="I44" s="49" t="s">
        <v>127</v>
      </c>
      <c r="J44" s="50"/>
    </row>
    <row r="45" spans="1:10" ht="12.75">
      <c r="A45" s="49"/>
      <c r="B45" s="49"/>
      <c r="C45" s="49"/>
      <c r="D45" s="49"/>
      <c r="E45" s="49"/>
      <c r="F45" s="49"/>
      <c r="G45" s="67"/>
      <c r="H45" s="49"/>
      <c r="I45" s="49"/>
      <c r="J45" s="50"/>
    </row>
    <row r="46" spans="1:10" ht="12.75">
      <c r="A46" s="49"/>
      <c r="B46" s="54" t="s">
        <v>128</v>
      </c>
      <c r="C46" s="49"/>
      <c r="D46" s="49"/>
      <c r="E46" s="49"/>
      <c r="F46" s="49"/>
      <c r="G46" s="72">
        <f>(G42*G44)/G25</f>
        <v>1187252.7472527472</v>
      </c>
      <c r="H46" s="49"/>
      <c r="I46" s="49" t="s">
        <v>129</v>
      </c>
      <c r="J46" s="50"/>
    </row>
    <row r="47" spans="1:10" ht="12.75">
      <c r="A47" s="49"/>
      <c r="B47" s="49"/>
      <c r="C47" s="49"/>
      <c r="D47" s="49"/>
      <c r="E47" s="49"/>
      <c r="F47" s="49"/>
      <c r="G47" s="72">
        <f>G42-G46</f>
        <v>613413.9194139196</v>
      </c>
      <c r="H47" s="49"/>
      <c r="I47" s="49" t="s">
        <v>130</v>
      </c>
      <c r="J47" s="50"/>
    </row>
    <row r="48" spans="1:10" ht="13.5">
      <c r="A48" s="49"/>
      <c r="B48" s="53" t="s">
        <v>131</v>
      </c>
      <c r="C48" s="49"/>
      <c r="D48" s="49"/>
      <c r="E48" s="49"/>
      <c r="F48" s="49"/>
      <c r="G48" s="72">
        <f>G23+G47</f>
        <v>42726747.25274725</v>
      </c>
      <c r="H48" s="49"/>
      <c r="I48" s="49" t="s">
        <v>132</v>
      </c>
      <c r="J48" s="50"/>
    </row>
    <row r="49" spans="1:10" ht="15">
      <c r="A49" s="49"/>
      <c r="B49" s="49"/>
      <c r="C49" s="49"/>
      <c r="D49" s="49"/>
      <c r="E49" s="49"/>
      <c r="F49" s="49"/>
      <c r="G49" s="49"/>
      <c r="H49" s="49"/>
      <c r="I49" s="49"/>
      <c r="J49" s="73"/>
    </row>
    <row r="50" spans="1:10" ht="12.75">
      <c r="A50" s="49"/>
      <c r="B50" s="49" t="s">
        <v>139</v>
      </c>
      <c r="C50" s="49"/>
      <c r="D50" s="49"/>
      <c r="E50" s="49"/>
      <c r="F50" s="49"/>
      <c r="G50" s="49"/>
      <c r="H50" s="49"/>
      <c r="I50" s="49" t="s">
        <v>133</v>
      </c>
      <c r="J50" s="74">
        <f>(G6/G23)*100</f>
        <v>2.7924647775842963</v>
      </c>
    </row>
    <row r="51" spans="1:10" ht="12.7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2.75">
      <c r="A52" s="49"/>
      <c r="B52" s="49" t="s">
        <v>140</v>
      </c>
      <c r="C52" s="49"/>
      <c r="D52" s="49"/>
      <c r="E52" s="49"/>
      <c r="F52" s="49"/>
      <c r="G52" s="49"/>
      <c r="H52" s="49"/>
      <c r="I52" s="49" t="s">
        <v>134</v>
      </c>
      <c r="J52" s="74">
        <f>(G6/(G23+G42-G46))*100</f>
        <v>2.752374275166442</v>
      </c>
    </row>
  </sheetData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</cp:lastModifiedBy>
  <cp:lastPrinted>2003-12-16T09:13:43Z</cp:lastPrinted>
  <dcterms:created xsi:type="dcterms:W3CDTF">2002-11-13T06:50:06Z</dcterms:created>
  <dcterms:modified xsi:type="dcterms:W3CDTF">2003-12-16T10:45:14Z</dcterms:modified>
  <cp:category/>
  <cp:version/>
  <cp:contentType/>
  <cp:contentStatus/>
</cp:coreProperties>
</file>